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060" windowHeight="9060" tabRatio="883" activeTab="0"/>
  </bookViews>
  <sheets>
    <sheet name="T" sheetId="1" r:id="rId1"/>
    <sheet name="BD" sheetId="2" r:id="rId2"/>
    <sheet name="LV" sheetId="3" state="hidden" r:id="rId3"/>
    <sheet name="Blce" sheetId="4" state="hidden" r:id="rId4"/>
    <sheet name="Stock" sheetId="5" r:id="rId5"/>
    <sheet name="Imo" sheetId="6" r:id="rId6"/>
    <sheet name="Amort" sheetId="7" r:id="rId7"/>
    <sheet name="Prov" sheetId="8" r:id="rId8"/>
    <sheet name="Clt,Frs" sheetId="9" r:id="rId9"/>
    <sheet name="DIPP" sheetId="10" r:id="rId10"/>
    <sheet name="RF" sheetId="11" r:id="rId11"/>
    <sheet name="TAR" sheetId="12" r:id="rId12"/>
    <sheet name="Titre" sheetId="13" r:id="rId13"/>
    <sheet name="Sal" sheetId="14" r:id="rId14"/>
    <sheet name="R" sheetId="15" r:id="rId15"/>
    <sheet name="R1" sheetId="16" r:id="rId16"/>
    <sheet name="B" sheetId="17" r:id="rId17"/>
    <sheet name="TED" sheetId="18" r:id="rId18"/>
    <sheet name="SR" sheetId="19" r:id="rId19"/>
    <sheet name="SIG0" sheetId="20" r:id="rId20"/>
    <sheet name="SIG2" sheetId="21" state="hidden" r:id="rId21"/>
    <sheet name="BF" sheetId="22" r:id="rId22"/>
    <sheet name="BF (2)" sheetId="23" state="hidden" r:id="rId23"/>
    <sheet name="TF" sheetId="24" r:id="rId24"/>
    <sheet name="VA" sheetId="25" r:id="rId25"/>
    <sheet name="Tax" sheetId="26" r:id="rId26"/>
    <sheet name="Feuil1" sheetId="27" state="hidden" r:id="rId27"/>
    <sheet name="DOC" sheetId="28" r:id="rId28"/>
    <sheet name="Analys" sheetId="29" r:id="rId29"/>
    <sheet name="Prév." sheetId="30" r:id="rId30"/>
    <sheet name="I" sheetId="31" state="hidden" r:id="rId31"/>
    <sheet name="Graph" sheetId="32" r:id="rId32"/>
    <sheet name="h" sheetId="33" r:id="rId33"/>
    <sheet name="SIG1" sheetId="34" state="hidden" r:id="rId34"/>
  </sheets>
  <definedNames>
    <definedName name="Achat_Charges_externes">'R1'!$C$11</definedName>
    <definedName name="AchatMat1ères">'R1'!$C$8</definedName>
    <definedName name="AchatMses">'R1'!$C$5</definedName>
    <definedName name="AnnéeCom">'Analys'!$P$65</definedName>
    <definedName name="Autre_Intérêts_et_Produit">'R1'!$I$34</definedName>
    <definedName name="Autre_VM_CréanceImmo">'R1'!$I$33</definedName>
    <definedName name="AutreProduit">'R1'!$I$15</definedName>
    <definedName name="CA" localSheetId="33">'SIG1'!$L$9</definedName>
    <definedName name="CA">'SIG0'!$L$9</definedName>
    <definedName name="CF" localSheetId="33">'SIG1'!$H$46</definedName>
    <definedName name="CF">'SIG0'!$H$48</definedName>
    <definedName name="ChargeNet_Cession_VMP">'R1'!$C$36</definedName>
    <definedName name="Charges_sociales">'R1'!$C$15</definedName>
    <definedName name="ChgeExep_Kpital">'R1'!$C$44</definedName>
    <definedName name="ChgesExep_OG">'R1'!$C$43</definedName>
    <definedName name="ConsoExterne" localSheetId="33">'SIG1'!$H$19</definedName>
    <definedName name="ConsoExterne">'SIG0'!$H$19</definedName>
    <definedName name="CP" localSheetId="33">'SIG1'!$H$24</definedName>
    <definedName name="CP">'SIG0'!$H$24</definedName>
    <definedName name="Dif_Charge">'R1'!$C$35</definedName>
    <definedName name="Dif_Charges">'R1'!$I$36</definedName>
    <definedName name="Dot_Amm_AC">'R1'!$C$20</definedName>
    <definedName name="Dot_amm_Prov_Exep">'R1'!$C$45</definedName>
    <definedName name="Dot_Amm_Prov_Fin">'R1'!$C$32</definedName>
    <definedName name="Dot_Ammt" localSheetId="33">'SIG1'!$H$34</definedName>
    <definedName name="Dot_Ammt">'SIG0'!$H$35</definedName>
    <definedName name="Dot_Ammt_Immo">'R1'!$C$18</definedName>
    <definedName name="Dot_Prov_AC">'R1'!$C$21</definedName>
    <definedName name="Dot_Prov_Immo">'R1'!$C$19</definedName>
    <definedName name="EBE" localSheetId="33">'SIG1'!$L$28</definedName>
    <definedName name="EBE">'SIG0'!$L$28</definedName>
    <definedName name="Effectifs">'Sal'!$D$6</definedName>
    <definedName name="G_achat_mat1ères">'DOC'!$E$88</definedName>
    <definedName name="G_Achat_mses">'DOC'!$E$87</definedName>
    <definedName name="G_CA0">'DOC'!$H$84</definedName>
    <definedName name="G_CA1">'DOC'!$G$84</definedName>
    <definedName name="G_CAF1">'DOC'!$G$113</definedName>
    <definedName name="G_CAn">'DOC'!$G$84</definedName>
    <definedName name="G_ChgePersonnel">'DOC'!$E$97</definedName>
    <definedName name="G_ChgesSociales">'DOC'!$E$96</definedName>
    <definedName name="G_consoExt">'DOC'!$E$91</definedName>
    <definedName name="G_EBE0">'DOC'!$H$101</definedName>
    <definedName name="G_EBE1">'DOC'!$G$101</definedName>
    <definedName name="G_effectifs">'DOC'!$G$98</definedName>
    <definedName name="G_Impots_Txe">'DOC'!$E$99</definedName>
    <definedName name="G_Marges">'DOC'!$G$85</definedName>
    <definedName name="G_mat1ères">'DOC'!$E$90</definedName>
    <definedName name="G_mses">'DOC'!$E$89</definedName>
    <definedName name="G_ProductionVendues">'DOC'!$G$81</definedName>
    <definedName name="G_Salaire">'DOC'!$E$95</definedName>
    <definedName name="G_StockProduction">'DOC'!$G$82</definedName>
    <definedName name="G_VA1">'DOC'!$G$93</definedName>
    <definedName name="G_VA2">'DOC'!$H$93</definedName>
    <definedName name="G_Vte_mses">'DOC'!$G$80</definedName>
    <definedName name="Impot_Taxe_Versmt">'R1'!$C$13</definedName>
    <definedName name="IntéretEtCharge_fin">'R1'!$C$33</definedName>
    <definedName name="k">#REF!</definedName>
    <definedName name="MargeCom" localSheetId="33">'SIG1'!$L$5</definedName>
    <definedName name="MargeCom">'SIG0'!$L$5</definedName>
    <definedName name="Participation">'R1'!$I$32</definedName>
    <definedName name="PF" localSheetId="33">'SIG1'!$C$46</definedName>
    <definedName name="PF">'SIG0'!$C$48</definedName>
    <definedName name="ProdBiensVendu">'R1'!$I$7</definedName>
    <definedName name="ProdImmo">'R1'!$I$12</definedName>
    <definedName name="ProdServiceVendu">'R1'!$I$8</definedName>
    <definedName name="ProdStock">'R1'!$I$11</definedName>
    <definedName name="Production">'SIG0'!$C$19</definedName>
    <definedName name="ProductionExercices" localSheetId="33">'SIG1'!$L$13</definedName>
    <definedName name="ProductionExercices">'SIG0'!$L$13</definedName>
    <definedName name="ProductionVendues" localSheetId="33">'SIG1'!$C$9</definedName>
    <definedName name="ProductionVendues">'SIG0'!$C$9</definedName>
    <definedName name="ProduitNetCession_VMP">'R1'!$I$37</definedName>
    <definedName name="R_exploitation" localSheetId="33">'SIG1'!#REF!</definedName>
    <definedName name="R_exploitation">'SIG0'!#REF!</definedName>
    <definedName name="Reprise_Amm_Prov">'R1'!$C$34</definedName>
    <definedName name="Reprise_Prov_TransfertCharge_Exceptionnel">'R1'!$I$46</definedName>
    <definedName name="RepriseAmmProvTransfertChge">'R1'!$I$14</definedName>
    <definedName name="RepriseSurProvision_TransfertCharges">'R1'!$I$35</definedName>
    <definedName name="Résultat_brut" localSheetId="33">'SIG1'!$L$52</definedName>
    <definedName name="Résultat_brut">'SIG0'!$L$54</definedName>
    <definedName name="Résultat_Exploitation" localSheetId="33">'SIG1'!$L$36</definedName>
    <definedName name="Résultat_Exploitation">'SIG0'!$L$37</definedName>
    <definedName name="Résultat_net" localSheetId="33">'SIG1'!$L$63</definedName>
    <definedName name="Résultat_net">'SIG0'!$L$65</definedName>
    <definedName name="S_CA">'Sal'!$B$3</definedName>
    <definedName name="Salaire_traitements">'R1'!$C$14</definedName>
    <definedName name="SR_CA">'SR'!$F$5</definedName>
    <definedName name="StockMat1ères">'R1'!$C$9</definedName>
    <definedName name="StockMses">'R1'!$C$6</definedName>
    <definedName name="StockProduct" localSheetId="33">'SIG1'!$C$13</definedName>
    <definedName name="StockProduct">'SIG0'!$C$13</definedName>
    <definedName name="Subvention">'R1'!$I$13</definedName>
    <definedName name="T_Bénéf">'Tax'!$D$17</definedName>
    <definedName name="T_CA">'Tax'!$H$2</definedName>
    <definedName name="TVA">'R1'!$C$11</definedName>
    <definedName name="TVA_19_6">'DOC'!$T$41</definedName>
    <definedName name="TVA_5_5">'DOC'!$S$41</definedName>
    <definedName name="UE">'Sal'!$C$7</definedName>
    <definedName name="VA" localSheetId="33">'SIG1'!$L$19</definedName>
    <definedName name="VA">'SIG0'!$L$19</definedName>
    <definedName name="VteMses">'R1'!$I$6</definedName>
    <definedName name="_xlnm.Print_Area" localSheetId="27">'DOC'!$A$1:$I$293</definedName>
  </definedNames>
  <calcPr fullCalcOnLoad="1"/>
</workbook>
</file>

<file path=xl/sharedStrings.xml><?xml version="1.0" encoding="utf-8"?>
<sst xmlns="http://schemas.openxmlformats.org/spreadsheetml/2006/main" count="2506" uniqueCount="1308">
  <si>
    <t>Produits financiers</t>
  </si>
  <si>
    <t>Produit exceptionnel</t>
  </si>
  <si>
    <t>Subvention</t>
  </si>
  <si>
    <t>Production stocké</t>
  </si>
  <si>
    <t>Reprise sur transfert charges</t>
  </si>
  <si>
    <t>Solde des valeur nette comptables d'actifs cedés</t>
  </si>
  <si>
    <t>Résultat Net de l'exercices</t>
  </si>
  <si>
    <t>Rentabilité nette = Résultat net / CA</t>
  </si>
  <si>
    <t>Rentabilité financière = Résultat net / fond propres</t>
  </si>
  <si>
    <t>Année N-1</t>
  </si>
  <si>
    <t>Marge commerciale hors taxes</t>
  </si>
  <si>
    <t>Production de Biens &amp; Services</t>
  </si>
  <si>
    <t>Production vendues</t>
  </si>
  <si>
    <t>Chiffre d'affaires net hors taxe</t>
  </si>
  <si>
    <t>Variation des stock de mat 1ères</t>
  </si>
  <si>
    <t>Production de Biens vendues</t>
  </si>
  <si>
    <t>Productions de services vendues</t>
  </si>
  <si>
    <t>Marge commerciales</t>
  </si>
  <si>
    <t>Consommation externe</t>
  </si>
  <si>
    <t>Valeur Ajoutés</t>
  </si>
  <si>
    <t>Producion de l'exercices</t>
  </si>
  <si>
    <t>Subventions d'exploitation</t>
  </si>
  <si>
    <t>Charges sociale</t>
  </si>
  <si>
    <t>Part de l'EBE dans la VA</t>
  </si>
  <si>
    <t>Résultat d'exploitaion</t>
  </si>
  <si>
    <t>produit financier</t>
  </si>
  <si>
    <t>Solde du résultat financier</t>
  </si>
  <si>
    <t>Produit d'exploitation</t>
  </si>
  <si>
    <t>Solde du résultat exeptionnel</t>
  </si>
  <si>
    <t>Année N</t>
  </si>
  <si>
    <t>Année N - 1</t>
  </si>
  <si>
    <t>ANNEE N - 1</t>
  </si>
  <si>
    <t>Production bénéficiaire</t>
  </si>
  <si>
    <t xml:space="preserve">Marges commerciales </t>
  </si>
  <si>
    <t>Marge brute</t>
  </si>
  <si>
    <t>Production brute</t>
  </si>
  <si>
    <t>Production brutes</t>
  </si>
  <si>
    <t>Rénumérations et impositions</t>
  </si>
  <si>
    <t>Valeurs Ajoutés et subventions</t>
  </si>
  <si>
    <t>Excédent brute d'exploitation</t>
  </si>
  <si>
    <t>Dotation et autres charges d'exploitatation</t>
  </si>
  <si>
    <t>Résultat du produit d'exploitation</t>
  </si>
  <si>
    <t>effectif</t>
  </si>
  <si>
    <t>mois</t>
  </si>
  <si>
    <t>CA</t>
  </si>
  <si>
    <t>VA</t>
  </si>
  <si>
    <t>% CA</t>
  </si>
  <si>
    <t>% VA</t>
  </si>
  <si>
    <t>Impôts sur les actions</t>
  </si>
  <si>
    <t>Taxe sur la valeur ajoutés</t>
  </si>
  <si>
    <t>Taxes sur les aprentissages</t>
  </si>
  <si>
    <t>Formation continues</t>
  </si>
  <si>
    <t>Taxes sur les véhicules</t>
  </si>
  <si>
    <t>Impôts, taxe et versement assimilés</t>
  </si>
  <si>
    <t>Valeur Ajouté</t>
  </si>
  <si>
    <t>Totales</t>
  </si>
  <si>
    <t>Bénéfice de la sociétés après prélevements</t>
  </si>
  <si>
    <t>Marges brute ou marge commerciales</t>
  </si>
  <si>
    <t>Production marginalisé</t>
  </si>
  <si>
    <t>Effectif</t>
  </si>
  <si>
    <t>nb mois</t>
  </si>
  <si>
    <t>I &amp; T / Sal</t>
  </si>
  <si>
    <t>Impots / mois</t>
  </si>
  <si>
    <t>I &amp; T / CA</t>
  </si>
  <si>
    <t>I &amp; T / VA</t>
  </si>
  <si>
    <t>Charge expl.</t>
  </si>
  <si>
    <t>TVA  collectés</t>
  </si>
  <si>
    <t>TVA Déductibles</t>
  </si>
  <si>
    <t xml:space="preserve">Achat et stock de marchandises </t>
  </si>
  <si>
    <t>Achat et stock de matière 1ères</t>
  </si>
  <si>
    <t>Produit soumis à la TVA collecté</t>
  </si>
  <si>
    <t>Charges soumise à la TVA déductible</t>
  </si>
  <si>
    <t>TVA Déductible</t>
  </si>
  <si>
    <t>TVA à redistribuer à l'Etat</t>
  </si>
  <si>
    <t>Bailleur de fond</t>
  </si>
  <si>
    <t>Bénéfice</t>
  </si>
  <si>
    <t>Marges brute hors taxes</t>
  </si>
  <si>
    <t>Soldes créditeur (Bénéfice)</t>
  </si>
  <si>
    <t>Solde débiteur ( pertes)</t>
  </si>
  <si>
    <t>Bénfice</t>
  </si>
  <si>
    <t>Impot &amp; taxe, Versement assimilé</t>
  </si>
  <si>
    <t>Compartif</t>
  </si>
  <si>
    <t xml:space="preserve">Marges - Bénéfice = charges </t>
  </si>
  <si>
    <t>Salaire moyen</t>
  </si>
  <si>
    <t>Annuel</t>
  </si>
  <si>
    <t>€</t>
  </si>
  <si>
    <t>Effectif en</t>
  </si>
  <si>
    <t>Valeur monaitaire en</t>
  </si>
  <si>
    <t>Littéraire</t>
  </si>
  <si>
    <t>Symbole</t>
  </si>
  <si>
    <t xml:space="preserve"> €</t>
  </si>
  <si>
    <t>à l'unité</t>
  </si>
  <si>
    <t xml:space="preserve"> Euro</t>
  </si>
  <si>
    <t>nb salarié</t>
  </si>
  <si>
    <t>Surface km²</t>
  </si>
  <si>
    <t>Production de biens</t>
  </si>
  <si>
    <t>Production de services</t>
  </si>
  <si>
    <t>nb machine</t>
  </si>
  <si>
    <t>nb opération</t>
  </si>
  <si>
    <t>densité</t>
  </si>
  <si>
    <t>temps</t>
  </si>
  <si>
    <t>Production administrative</t>
  </si>
  <si>
    <t>Production commerciale</t>
  </si>
  <si>
    <t>Nb de commerciaux</t>
  </si>
  <si>
    <t>Aire de prosp.</t>
  </si>
  <si>
    <t>nb de km</t>
  </si>
  <si>
    <t>Salaire</t>
  </si>
  <si>
    <t>Direction</t>
  </si>
  <si>
    <t>Cadre supérieur</t>
  </si>
  <si>
    <t>Cadre Tranche 2</t>
  </si>
  <si>
    <t>Cadre Tranche 1</t>
  </si>
  <si>
    <t>Salairié Administratif</t>
  </si>
  <si>
    <t>Salarié Commerciaux</t>
  </si>
  <si>
    <t>Salarié productif</t>
  </si>
  <si>
    <t>Montant</t>
  </si>
  <si>
    <t>Charges</t>
  </si>
  <si>
    <t>Actionnaire</t>
  </si>
  <si>
    <t>Sal my/ mois</t>
  </si>
  <si>
    <t>Dens/Temps</t>
  </si>
  <si>
    <t>Dens/ op°</t>
  </si>
  <si>
    <t>dens/ mach</t>
  </si>
  <si>
    <r>
      <t>Σ</t>
    </r>
    <r>
      <rPr>
        <sz val="10"/>
        <rFont val="Arial"/>
        <family val="0"/>
      </rPr>
      <t xml:space="preserve"> Salaire</t>
    </r>
  </si>
  <si>
    <t xml:space="preserve"> / mois</t>
  </si>
  <si>
    <t>Part de l'Etat dans la VA = Imposition totale / VA</t>
  </si>
  <si>
    <t>Part de l'Etat dans la VA = Impots &amp; taxes / VA</t>
  </si>
  <si>
    <t>Stock de marchandises</t>
  </si>
  <si>
    <t>Stock de matière premières</t>
  </si>
  <si>
    <t>Variation des stocks</t>
  </si>
  <si>
    <t>Stock vendues</t>
  </si>
  <si>
    <t>VARIATIONS DES STOCK</t>
  </si>
  <si>
    <t>Solde des stocks</t>
  </si>
  <si>
    <t>Stock consommées</t>
  </si>
  <si>
    <t>Avance et acomptes</t>
  </si>
  <si>
    <t>Impots sur les sociétés</t>
  </si>
  <si>
    <t>Salaire / VA</t>
  </si>
  <si>
    <t>Vente de marchandise</t>
  </si>
  <si>
    <t>Stock de la production</t>
  </si>
  <si>
    <t>Chiffre d'affaire H T</t>
  </si>
  <si>
    <t>Achat de matières 1ère</t>
  </si>
  <si>
    <t>Stock de matière 1ère</t>
  </si>
  <si>
    <t>Soldes</t>
  </si>
  <si>
    <t>Consommations externe</t>
  </si>
  <si>
    <t>Impot, taxe et versement Assimilés</t>
  </si>
  <si>
    <t>Effectifs</t>
  </si>
  <si>
    <t>Résultat financier</t>
  </si>
  <si>
    <t>Résultat Exceptionnel</t>
  </si>
  <si>
    <t>Résultat d'exploitation (SIG)</t>
  </si>
  <si>
    <t>Résultat du compte de Résultat</t>
  </si>
  <si>
    <t>Année N-2</t>
  </si>
  <si>
    <t>Année N-3</t>
  </si>
  <si>
    <t>Année N-4</t>
  </si>
  <si>
    <t>Part du salaire moyen</t>
  </si>
  <si>
    <t>Achat de m/ses / Salarié</t>
  </si>
  <si>
    <t>Part de la CAF / VA</t>
  </si>
  <si>
    <t>Part de la CAF / CA</t>
  </si>
  <si>
    <t>Charges sociale moyenne</t>
  </si>
  <si>
    <t>Charges de personnel moyenne</t>
  </si>
  <si>
    <t>Achat mat 1ère et M/ses</t>
  </si>
  <si>
    <t>Solde</t>
  </si>
  <si>
    <t>Salaire moyen / ( PNB / habitant du pays )</t>
  </si>
  <si>
    <t>Salaire moyen / ( PNB / habitant des etats de la sté )</t>
  </si>
  <si>
    <t>Salaire moyen / PNB mondiale</t>
  </si>
  <si>
    <t>PIB</t>
  </si>
  <si>
    <t>PNB</t>
  </si>
  <si>
    <t>Habitant</t>
  </si>
  <si>
    <t>PNB / habitant</t>
  </si>
  <si>
    <t>USA</t>
  </si>
  <si>
    <t>RUSSIE</t>
  </si>
  <si>
    <t>ANGLETTERRE</t>
  </si>
  <si>
    <t>ALLEMAGNE</t>
  </si>
  <si>
    <t>CHINE</t>
  </si>
  <si>
    <t>INDE</t>
  </si>
  <si>
    <t>PAKISTAN</t>
  </si>
  <si>
    <t>FRANCE</t>
  </si>
  <si>
    <t>Etat ou réside la société</t>
  </si>
  <si>
    <t>Temps horaire</t>
  </si>
  <si>
    <t>France</t>
  </si>
  <si>
    <t xml:space="preserve">pays </t>
  </si>
  <si>
    <t>HABITANT</t>
  </si>
  <si>
    <t>PNB / hbtant</t>
  </si>
  <si>
    <t>Adulte</t>
  </si>
  <si>
    <t>PNB / Adulte</t>
  </si>
  <si>
    <t>PNB / Actif</t>
  </si>
  <si>
    <t>PIB / Actif</t>
  </si>
  <si>
    <t>$</t>
  </si>
  <si>
    <t>Actifs</t>
  </si>
  <si>
    <t>PIB / habitant</t>
  </si>
  <si>
    <t>PNB moyen / habitant</t>
  </si>
  <si>
    <t>PNB moyen / actif</t>
  </si>
  <si>
    <t>PNB moyen / Adultes</t>
  </si>
  <si>
    <t xml:space="preserve">PNB du pays </t>
  </si>
  <si>
    <t>France 2003</t>
  </si>
  <si>
    <t>PNB Mondiale</t>
  </si>
  <si>
    <t>D mensuel</t>
  </si>
  <si>
    <t>Part de la  CAF / Marges</t>
  </si>
  <si>
    <t>Soldes N</t>
  </si>
  <si>
    <t>Solde N-1</t>
  </si>
  <si>
    <t xml:space="preserve"> total I A </t>
  </si>
  <si>
    <t xml:space="preserve"> total I B</t>
  </si>
  <si>
    <t>Subvention d'investissement</t>
  </si>
  <si>
    <t>Provision réglementées</t>
  </si>
  <si>
    <t>Capital social ou individuel</t>
  </si>
  <si>
    <t>Totat I D</t>
  </si>
  <si>
    <t>Réserves réglementé</t>
  </si>
  <si>
    <t>Dettes Impôts sur les sociétés</t>
  </si>
  <si>
    <t>Autres dettes fiscales et sociales</t>
  </si>
  <si>
    <t>Total Général  ( I à V)</t>
  </si>
  <si>
    <t>Ecart de réévaluation incorporé au capital</t>
  </si>
  <si>
    <t>Droit réserve réglementé des plus values à lg termes</t>
  </si>
  <si>
    <t>Dont réserve relative constatés d'avance à moins d'1 an</t>
  </si>
  <si>
    <t>Dont concours bancaires courants, Sdes C des bq et ccp</t>
  </si>
  <si>
    <t>Dont emprunts participatifs</t>
  </si>
  <si>
    <t>Amm, Prov</t>
  </si>
  <si>
    <t>Brut</t>
  </si>
  <si>
    <t>net</t>
  </si>
  <si>
    <t>Autre participations</t>
  </si>
  <si>
    <t>En cours de production ( Services)</t>
  </si>
  <si>
    <t>En cours de production ( Biens )</t>
  </si>
  <si>
    <t>Avance et Acompte sur commande</t>
  </si>
  <si>
    <t>Créances</t>
  </si>
  <si>
    <t>Clients et comptes ratachés</t>
  </si>
  <si>
    <t>Autres créances</t>
  </si>
  <si>
    <t>Action propres</t>
  </si>
  <si>
    <t>Valeur mobilières de placement</t>
  </si>
  <si>
    <t xml:space="preserve">TOTAL  I  </t>
  </si>
  <si>
    <t xml:space="preserve">Total des stock en cours  </t>
  </si>
  <si>
    <t xml:space="preserve">Total des créances  </t>
  </si>
  <si>
    <t xml:space="preserve">Total Général (0 à V)  </t>
  </si>
  <si>
    <t xml:space="preserve">Sous total (III+IV+a)  </t>
  </si>
  <si>
    <t>Ecarts de conversion actifs                                    (a)</t>
  </si>
  <si>
    <t>Reprise</t>
  </si>
  <si>
    <t>nature des provision</t>
  </si>
  <si>
    <t>prov pr reconstitution des gisements minier et pétroliers</t>
  </si>
  <si>
    <t>prov pour hausse des prix</t>
  </si>
  <si>
    <t>Prov pr fluctuation des cours</t>
  </si>
  <si>
    <t>Ammortissement dérogatoire</t>
  </si>
  <si>
    <t>Prov fiscal pr implantation constitué avt le 1.1.1992</t>
  </si>
  <si>
    <t>Provision pr prêts d'installation</t>
  </si>
  <si>
    <t>Autres provision réglementés</t>
  </si>
  <si>
    <t>Provision réglementés</t>
  </si>
  <si>
    <t>provision pr litiges</t>
  </si>
  <si>
    <t>Prov pr garanties données aux clt</t>
  </si>
  <si>
    <t>Prov pr amendes et pénalités</t>
  </si>
  <si>
    <t>Prov pr pensions et obligations similaire</t>
  </si>
  <si>
    <t>Provision pr impôts</t>
  </si>
  <si>
    <t>Provision pr renouvellemetnt des immobilisation</t>
  </si>
  <si>
    <t>Provision pr grosse réparation</t>
  </si>
  <si>
    <t>Provision pr charges sociales et fiscale sur congés à payer</t>
  </si>
  <si>
    <t>Autres provision pr risques et charges</t>
  </si>
  <si>
    <t>Provision pr risque et charges</t>
  </si>
  <si>
    <t>Sur stock et en cours</t>
  </si>
  <si>
    <t>Sur comptes clients</t>
  </si>
  <si>
    <t>Autres provision pr dépréciations</t>
  </si>
  <si>
    <t>Provision pr dépréciation</t>
  </si>
  <si>
    <t>Montant au début de l'exercices</t>
  </si>
  <si>
    <t>Augmentation  : Dotation aux exercices</t>
  </si>
  <si>
    <t>Diminution : reprise de l'exercices</t>
  </si>
  <si>
    <t>Montant à la fin de l'exercices</t>
  </si>
  <si>
    <t>Total Général (I + II + III)</t>
  </si>
  <si>
    <t>Dont dotation aux ammortissement</t>
  </si>
  <si>
    <t>dont droit au bail</t>
  </si>
  <si>
    <t>Clause de réserve de propriété</t>
  </si>
  <si>
    <t>Immobiliation</t>
  </si>
  <si>
    <t>Stock</t>
  </si>
  <si>
    <t>Part à plus d'1 ans</t>
  </si>
  <si>
    <t>Part à moins d'1 an des immobilisation financières</t>
  </si>
  <si>
    <t>Charges à répartir</t>
  </si>
  <si>
    <t>Provision</t>
  </si>
  <si>
    <t>Disponibilité</t>
  </si>
  <si>
    <t>Ecart de conversion</t>
  </si>
  <si>
    <t>Charges constaté d'avance</t>
  </si>
  <si>
    <t>ACTIFS</t>
  </si>
  <si>
    <t>Capitaux propres</t>
  </si>
  <si>
    <t>Dettes financières</t>
  </si>
  <si>
    <t xml:space="preserve">Capitaux </t>
  </si>
  <si>
    <t>Cumul</t>
  </si>
  <si>
    <t>Total I 3</t>
  </si>
  <si>
    <t>Frais d'éts ( constitu°. , 1 er ets, fusion, scission, transforma°)</t>
  </si>
  <si>
    <t>Autre immobilisation corporelles :</t>
  </si>
  <si>
    <t>Construction :</t>
  </si>
  <si>
    <t>Adresse</t>
  </si>
  <si>
    <t>CP, Ville</t>
  </si>
  <si>
    <t>code siret</t>
  </si>
  <si>
    <t>code siret :</t>
  </si>
  <si>
    <t>Dette sur immobilisation et compte ratachaché</t>
  </si>
  <si>
    <t>Autre dettes</t>
  </si>
  <si>
    <t>Total des dettes</t>
  </si>
  <si>
    <t>Total des provision</t>
  </si>
  <si>
    <t xml:space="preserve">Total des capitaux </t>
  </si>
  <si>
    <t>Concours banquaire</t>
  </si>
  <si>
    <t>Frais d'ets et de recherche I</t>
  </si>
  <si>
    <t>Immo incorporelles           II</t>
  </si>
  <si>
    <t>Total des immo incorp</t>
  </si>
  <si>
    <t>Intérêt courus</t>
  </si>
  <si>
    <t>Dettes circulantes hors exploitation :</t>
  </si>
  <si>
    <t>Année N-5</t>
  </si>
  <si>
    <t>Dettes fiscales et sociales</t>
  </si>
  <si>
    <t>Impôts sur les sociétés</t>
  </si>
  <si>
    <t>Immobilisation brute</t>
  </si>
  <si>
    <t>Trésorerie active</t>
  </si>
  <si>
    <t>Crédit bail</t>
  </si>
  <si>
    <t>AUTRES RENVOIS</t>
  </si>
  <si>
    <t>Effet de commerce escompté</t>
  </si>
  <si>
    <t>Valeur mobilière de placement</t>
  </si>
  <si>
    <t>Trésoreries  active</t>
  </si>
  <si>
    <t>Ressources stables</t>
  </si>
  <si>
    <t>Trésorerie passive</t>
  </si>
  <si>
    <t>nombre d'heure moyen</t>
  </si>
  <si>
    <t>nb heure moyen</t>
  </si>
  <si>
    <t>type de société</t>
  </si>
  <si>
    <t>HOLDING</t>
  </si>
  <si>
    <t>Nom de la société ( mère) :</t>
  </si>
  <si>
    <t>Stock initial</t>
  </si>
  <si>
    <t>Stock final</t>
  </si>
  <si>
    <t>Stock moyen</t>
  </si>
  <si>
    <t>Chiffre d'affaire hors taxe</t>
  </si>
  <si>
    <t>TVA</t>
  </si>
  <si>
    <t>Achat net hors taxe</t>
  </si>
  <si>
    <t>=</t>
  </si>
  <si>
    <t>Jours</t>
  </si>
  <si>
    <t>Ressources stable / Emplois stable</t>
  </si>
  <si>
    <t>ANNEE   N</t>
  </si>
  <si>
    <t>Année N−1</t>
  </si>
  <si>
    <t>PRODUITS D'EXPLOITATION</t>
  </si>
  <si>
    <t>Prodution vendues de biens</t>
  </si>
  <si>
    <t>Production vendues de services</t>
  </si>
  <si>
    <t>Sous total A (Chiffre d'affaire nets)</t>
  </si>
  <si>
    <t>Reprise sur ammortissement et provision, transfert de charges</t>
  </si>
  <si>
    <t xml:space="preserve">Sous total B </t>
  </si>
  <si>
    <t>TOTAL DES PRODUITS D'EXPLOITATION  ( I )</t>
  </si>
  <si>
    <t>CHARGES D'EXPLOITATION</t>
  </si>
  <si>
    <t>Achat de marchandises (y compris droits de douanes)</t>
  </si>
  <si>
    <t>Variation de stock (marchandises)</t>
  </si>
  <si>
    <t>Total des coûts d'achat de marchandises</t>
  </si>
  <si>
    <t>Achat de matière première et autres approvisionnement</t>
  </si>
  <si>
    <t>Autres achat et charges externes</t>
  </si>
  <si>
    <t>Total des coût de la consommation externe</t>
  </si>
  <si>
    <t>Impôts et taxes, versement assimilés</t>
  </si>
  <si>
    <t>Sur Immobilisation</t>
  </si>
  <si>
    <t>Dotation aux ammortissements</t>
  </si>
  <si>
    <t>Dotation aux provision</t>
  </si>
  <si>
    <t>Sur Actif Circulant : Provision pour risque et charges</t>
  </si>
  <si>
    <t>Dotation, ammortissement, provision sur l'Actif</t>
  </si>
  <si>
    <t>TOTAL DES CHARGES D'EXPLOITATIONS</t>
  </si>
  <si>
    <t>RESULTAT D'EXPLOITATION</t>
  </si>
  <si>
    <t>Qute part des produits mis en commun (Bénéfice attribué ou perte transféré)</t>
  </si>
  <si>
    <t>Quote part des charges mis en commun (Perte supporté ou bénéfice transféré)</t>
  </si>
  <si>
    <t>RESULTAT DES QUOTES PART MIS EN COMMUN</t>
  </si>
  <si>
    <t>Produit financier de financier</t>
  </si>
  <si>
    <t>Produit des autres valeurs mobilières et créances de l'actif immobilisés</t>
  </si>
  <si>
    <t>Autres intérêts et produits assimilés</t>
  </si>
  <si>
    <t>Différences positive de change</t>
  </si>
  <si>
    <t>Produit nets de cession de valeur mobilières de placements</t>
  </si>
  <si>
    <t>CHARGES FINANCIERES</t>
  </si>
  <si>
    <t xml:space="preserve"> CHARGES FINANCIERES (VI)</t>
  </si>
  <si>
    <t>RESULTAT FINANCIERS  (  V − VI)</t>
  </si>
  <si>
    <t>RESULTAT D'EXPLOITATION COURANT AVANT IMPOTS ( I − II + III − IV + V − VI )</t>
  </si>
  <si>
    <t>PRODUITS EXCEPTION-NEL</t>
  </si>
  <si>
    <t>Produit exceptionnels sur opération de gestion</t>
  </si>
  <si>
    <t>Produit exceptionnels sur opération en capital</t>
  </si>
  <si>
    <t>Reprise sur provision et transfert de charges</t>
  </si>
  <si>
    <t xml:space="preserve">TOTAL DES PRODUITS EXCEPTIONNELS ( VII) </t>
  </si>
  <si>
    <t>CHARGES EXCEPTION-NELS</t>
  </si>
  <si>
    <t>Charges exceptionnelles sur opération de gestion</t>
  </si>
  <si>
    <t>Charges exceptionnelles sur opération en capital</t>
  </si>
  <si>
    <t>Charges exceptionnelles aux amortissement et aux provision</t>
  </si>
  <si>
    <t>TOTAL DES CHARGES EXCEPTIONNELLES (VIII)</t>
  </si>
  <si>
    <t>RESULTAT DES OPERATIONS EXCEPTIONNELLES  (  V − VI)</t>
  </si>
  <si>
    <t>Participation des salariés aux résultats de l'entreprise ( IX )</t>
  </si>
  <si>
    <t>Impôts sur les bénéfices ( X )</t>
  </si>
  <si>
    <t>TOTAL DES PRODUITS ( I + III +  V + VII)</t>
  </si>
  <si>
    <t xml:space="preserve">TOTAL DES CHARGES ( II + IV + VI + VIII + IX + X) </t>
  </si>
  <si>
    <t>BENEFICES OU PERTES (Résultat des produits ― Résultat des charges)</t>
  </si>
  <si>
    <t>dont produit net partiel sur opération à long termes</t>
  </si>
  <si>
    <t>DONT</t>
  </si>
  <si>
    <t>Produit nette de location immobilières</t>
  </si>
  <si>
    <t>Produit d'exploitation afférents à des exercices antérieur (à détailler au 8 )</t>
  </si>
  <si>
    <t>Dont charges d'exploitation afférente à des exercices antérieurs</t>
  </si>
  <si>
    <t>Produit concernant les entreprises liées</t>
  </si>
  <si>
    <t>Dont dons fait aux organisme d'intérêts général (Art 238 bis du CGI)</t>
  </si>
  <si>
    <t>Dont transfert de charges</t>
  </si>
  <si>
    <t>Dont cotisation personnelles de l'exploitant (Prime et cotisation complémentaire personnelle)</t>
  </si>
  <si>
    <t>Dont redevance pour concession de brevets, de licences, (charges)</t>
  </si>
  <si>
    <t>Détail des produits et charges exceptionnels</t>
  </si>
  <si>
    <t>EXERCICES N</t>
  </si>
  <si>
    <t>produits exceptionnels</t>
  </si>
  <si>
    <t>Valeur nette comptable des éléments cédés</t>
  </si>
  <si>
    <t>Dotation aux amortissement dérogatoire</t>
  </si>
  <si>
    <t>Endettement / Ressources propres</t>
  </si>
  <si>
    <t>Emploi stable</t>
  </si>
  <si>
    <t>après retraitement</t>
  </si>
  <si>
    <t>Interéaction financière entre entreprise =                      Immo fin / Actif total</t>
  </si>
  <si>
    <t>Résultat courant avant impôts</t>
  </si>
  <si>
    <t>Résultat du quote parts</t>
  </si>
  <si>
    <t>Résultat des produit exceptionnel</t>
  </si>
  <si>
    <t>Libéralité reçues</t>
  </si>
  <si>
    <t>Provision pour risque et charges</t>
  </si>
  <si>
    <t>Provision pour investissement</t>
  </si>
  <si>
    <t>Dotation aux ammortissement dérogatoires</t>
  </si>
  <si>
    <t>Pénalité</t>
  </si>
  <si>
    <t>Quote part des subventions virées au comptes de résultat</t>
  </si>
  <si>
    <t>Valeur à neuf</t>
  </si>
  <si>
    <t>Valeur résiduel</t>
  </si>
  <si>
    <t>durée du contrat</t>
  </si>
  <si>
    <t>ans</t>
  </si>
  <si>
    <t>Part équivalente de l'annuité d'ammortissmt =</t>
  </si>
  <si>
    <t>―</t>
  </si>
  <si>
    <t>Part équivalente à la charge d'intérêt =</t>
  </si>
  <si>
    <t>Part équivalente à la charge d'intérêt</t>
  </si>
  <si>
    <t>LE CREDIT BAIL</t>
  </si>
  <si>
    <t>Résultat d'exploitation ou</t>
  </si>
  <si>
    <t>Valeur comptable nette des éléments cédés</t>
  </si>
  <si>
    <t>RENVOIS (CHARGES Exceptionnelles)</t>
  </si>
  <si>
    <t>RENVOIS (PRODUITS Exceptionnelles)</t>
  </si>
  <si>
    <t>Redevance du crédit bail</t>
  </si>
  <si>
    <t>Mars</t>
  </si>
  <si>
    <t>Mai</t>
  </si>
  <si>
    <t>Juin</t>
  </si>
  <si>
    <t>Juillet</t>
  </si>
  <si>
    <t>Aout</t>
  </si>
  <si>
    <t>Novembre</t>
  </si>
  <si>
    <t>Décembre</t>
  </si>
  <si>
    <t>n°</t>
  </si>
  <si>
    <t>Libéllé</t>
  </si>
  <si>
    <t>Somme annuel</t>
  </si>
  <si>
    <t>Janvier</t>
  </si>
  <si>
    <t xml:space="preserve">Février </t>
  </si>
  <si>
    <t xml:space="preserve">Avril </t>
  </si>
  <si>
    <t>Septembre</t>
  </si>
  <si>
    <t>Octobre</t>
  </si>
  <si>
    <t>PRODUCTION</t>
  </si>
  <si>
    <t>Transport</t>
  </si>
  <si>
    <t>TVA Collectée</t>
  </si>
  <si>
    <t>Emballage</t>
  </si>
  <si>
    <t>RRR accordé</t>
  </si>
  <si>
    <t>Escompte accordé</t>
  </si>
  <si>
    <t>Clients</t>
  </si>
  <si>
    <t xml:space="preserve">Achat  mat 1ère </t>
  </si>
  <si>
    <t>Achat d'Energies</t>
  </si>
  <si>
    <t>Total Achats</t>
  </si>
  <si>
    <t>Transports</t>
  </si>
  <si>
    <t>TVA sur biens et services déductible</t>
  </si>
  <si>
    <t>RRR Obtenus</t>
  </si>
  <si>
    <t>Escompte obtenus</t>
  </si>
  <si>
    <t>Frs (Marchandises)</t>
  </si>
  <si>
    <t>Frs (Matière premières)</t>
  </si>
  <si>
    <t>Frs Electricité</t>
  </si>
  <si>
    <t>Frs Eau</t>
  </si>
  <si>
    <t>Frs Pétrolier</t>
  </si>
  <si>
    <t>Frs d'energies</t>
  </si>
  <si>
    <t>Total frs</t>
  </si>
  <si>
    <t>nb hre W</t>
  </si>
  <si>
    <t>JAPON</t>
  </si>
  <si>
    <t>Sal min €</t>
  </si>
  <si>
    <t>Sal max €</t>
  </si>
  <si>
    <t>TVA collectées</t>
  </si>
  <si>
    <t>avant retraitement</t>
  </si>
  <si>
    <t>TVA hypothétique</t>
  </si>
  <si>
    <t>TVA à redistribuer à l'état</t>
  </si>
  <si>
    <t>Fond de Roulement Net Global</t>
  </si>
  <si>
    <t>Crédit Bail</t>
  </si>
  <si>
    <t>Comptes client et ratachés</t>
  </si>
  <si>
    <t>Effet de com. escompté non échus</t>
  </si>
  <si>
    <t>Total des stocks et encours</t>
  </si>
  <si>
    <t>ACTIF CIRCULANTS</t>
  </si>
  <si>
    <t>ACTIFS IMMOBILISES</t>
  </si>
  <si>
    <t>Capital non appelé</t>
  </si>
  <si>
    <t>Redevance au crédit bail</t>
  </si>
  <si>
    <t xml:space="preserve">Valeur neuve du crédit bail </t>
  </si>
  <si>
    <t>Valeur résiduel du crédit bail</t>
  </si>
  <si>
    <t>durée en nombre d'année</t>
  </si>
  <si>
    <t>Amm. &amp; Prov de l A Immo</t>
  </si>
  <si>
    <t>Amm &amp; Prov de l' A Circulant</t>
  </si>
  <si>
    <t>Σ des amm. exe. ini. ds Tbl Ammt</t>
  </si>
  <si>
    <t>Ammortissement &amp; Provision</t>
  </si>
  <si>
    <t>Prov pr risque et charges</t>
  </si>
  <si>
    <t>Prov pr dépréciation ds Tbl Prov</t>
  </si>
  <si>
    <t>Emprunts et dettes fin (Bilan)</t>
  </si>
  <si>
    <t>Intérêt courus ( Renvois/Pasf)</t>
  </si>
  <si>
    <t>Primes de remb. des obliga°</t>
  </si>
  <si>
    <t>Dettes frs et cptes ratachées</t>
  </si>
  <si>
    <t>Consours bancaires courants</t>
  </si>
  <si>
    <t>PASSIF CIRCULANTS</t>
  </si>
  <si>
    <t>ACTIFS CIRCULANTS</t>
  </si>
  <si>
    <t>CAPITAUX</t>
  </si>
  <si>
    <t>BILAN FONCTIONNELLE</t>
  </si>
  <si>
    <t>PASSIFS CAPITALISES</t>
  </si>
  <si>
    <t>Effet escomptés non échus</t>
  </si>
  <si>
    <t>PASSIF TOTAL</t>
  </si>
  <si>
    <t>Total Passif circulant</t>
  </si>
  <si>
    <t>Actif circulants</t>
  </si>
  <si>
    <t>Total Actif</t>
  </si>
  <si>
    <t>SOLDES DU CAPITAL</t>
  </si>
  <si>
    <t>Principe comptable des immobilisations</t>
  </si>
  <si>
    <t>IMMOBILISATION</t>
  </si>
  <si>
    <t>Ammortissement</t>
  </si>
  <si>
    <t>SALAIRE</t>
  </si>
  <si>
    <t>DEBIT</t>
  </si>
  <si>
    <t>CREDIT</t>
  </si>
  <si>
    <t>DATE</t>
  </si>
  <si>
    <t>n° de compte</t>
  </si>
  <si>
    <t>Σ 2</t>
  </si>
  <si>
    <r>
      <t xml:space="preserve">Σ </t>
    </r>
    <r>
      <rPr>
        <sz val="10"/>
        <rFont val="Arial"/>
        <family val="0"/>
      </rPr>
      <t>1</t>
    </r>
  </si>
  <si>
    <t>Σ2 - Σ 1 = 0</t>
  </si>
  <si>
    <t xml:space="preserve">Total </t>
  </si>
  <si>
    <t>Vente de matière première</t>
  </si>
  <si>
    <t>JOURNAL DES VENTES</t>
  </si>
  <si>
    <t>JOURNAL DES ACHATS</t>
  </si>
  <si>
    <t>JOURNAL DE PAIE</t>
  </si>
  <si>
    <t>JOURNAL DES IMMOBILISATIONS</t>
  </si>
  <si>
    <t>INDEX DES ECRITURES COMPTABLES</t>
  </si>
  <si>
    <t>Fournitures</t>
  </si>
  <si>
    <t>Tableaux des ammortissements</t>
  </si>
  <si>
    <t>Evolution de la VMP : (VMP n - VMP n-1) / VMP n-1</t>
  </si>
  <si>
    <t>RATIOS BOURSIERS</t>
  </si>
  <si>
    <t>Stabilité des ressources =                                                       K permanents / Actifs net immobilisé</t>
  </si>
  <si>
    <t>Fond de roulement =                                                                Actif Circulant / Dettes à courts termes</t>
  </si>
  <si>
    <t>Ratios de liquidité restreintes =                                               AC net / Dettes à Crt termes</t>
  </si>
  <si>
    <t>n ° cpte</t>
  </si>
  <si>
    <t>TOTAL</t>
  </si>
  <si>
    <t>Variation</t>
  </si>
  <si>
    <t>SOLDES N</t>
  </si>
  <si>
    <t>SOLDES N-1</t>
  </si>
  <si>
    <t>Actif circulant</t>
  </si>
  <si>
    <t>− Emploi stables</t>
  </si>
  <si>
    <t>−Passif circulant</t>
  </si>
  <si>
    <t>Fond de Roulement net Global</t>
  </si>
  <si>
    <t>Passif circulant</t>
  </si>
  <si>
    <t>Besoin de Fond de Roulement</t>
  </si>
  <si>
    <t>Besoin en fond de roulement ( BFR )</t>
  </si>
  <si>
    <t>Fond de Roulement Net Global ( FRNG )</t>
  </si>
  <si>
    <t xml:space="preserve">Créance Hors Exploitation </t>
  </si>
  <si>
    <t>− Dettes d'exploitatioin</t>
  </si>
  <si>
    <t>Besoin de Fond de Roulement d' Exploitation ( BFRE )</t>
  </si>
  <si>
    <t>Besoin de Fond de Roulement hors d' Exploitation ( BFRE )</t>
  </si>
  <si>
    <t>Trésorerie</t>
  </si>
  <si>
    <t>− B F R</t>
  </si>
  <si>
    <t xml:space="preserve">   F R N G</t>
  </si>
  <si>
    <t>Créance d'exploitation</t>
  </si>
  <si>
    <t>Dette d'exploitation</t>
  </si>
  <si>
    <t>Dette hors exploitation</t>
  </si>
  <si>
    <t>Part équivalente de l'annuité de l'amortissement</t>
  </si>
  <si>
    <t>Stock &amp; Créance d'exploitation</t>
  </si>
  <si>
    <t>Créance hors exploitation</t>
  </si>
  <si>
    <t>Emplois Stable</t>
  </si>
  <si>
    <t>N-1</t>
  </si>
  <si>
    <t>Ratio de Financement des emplois stables</t>
  </si>
  <si>
    <t>CREDIT BAIL</t>
  </si>
  <si>
    <t>RATIOS STRUCTURELLES</t>
  </si>
  <si>
    <t>Bilan</t>
  </si>
  <si>
    <t>Actif du Bilan / dettes</t>
  </si>
  <si>
    <t>Dette / Actif du Bilan</t>
  </si>
  <si>
    <t>Pourcentages des dettes / CA</t>
  </si>
  <si>
    <t>Pourcentages des dettes / Immobilisation</t>
  </si>
  <si>
    <t>Immobilisation incorporelle</t>
  </si>
  <si>
    <t>Immobilisation corporelle</t>
  </si>
  <si>
    <t>Total des Immobilisation</t>
  </si>
  <si>
    <t xml:space="preserve">Stock et en cours </t>
  </si>
  <si>
    <t>Créance &amp; autres</t>
  </si>
  <si>
    <t>VMP</t>
  </si>
  <si>
    <t>Trésorerie ou liquidité</t>
  </si>
  <si>
    <t>Charge constaté d'avance</t>
  </si>
  <si>
    <t>Total de cptes de régularisation</t>
  </si>
  <si>
    <t>Total des Actif Circulant</t>
  </si>
  <si>
    <t>Total de l'actif</t>
  </si>
  <si>
    <t>PASSIFS</t>
  </si>
  <si>
    <t>SOLDES INTERMEDIAIRE DE GESTIONS CONTRACTES</t>
  </si>
  <si>
    <t>Réserves</t>
  </si>
  <si>
    <t>Résultat de l'exercice</t>
  </si>
  <si>
    <t>Subvention et provision réglementé</t>
  </si>
  <si>
    <t>Total des capitaux</t>
  </si>
  <si>
    <t>Total du passif</t>
  </si>
  <si>
    <t>Compte de régularisation</t>
  </si>
  <si>
    <t>Produit constaté d'avance</t>
  </si>
  <si>
    <t>Total du patrimoine</t>
  </si>
  <si>
    <t>Patrimoine de l'entreprise</t>
  </si>
  <si>
    <t>Valeur de solvabilité de l'entreprise</t>
  </si>
  <si>
    <t>RATIOS D'ENDETTEMENTS</t>
  </si>
  <si>
    <t>Immo</t>
  </si>
  <si>
    <t>Créance clts et compte rattaché</t>
  </si>
  <si>
    <t>Patrimoine immobilisé de l'entreprise</t>
  </si>
  <si>
    <t>Endettement :</t>
  </si>
  <si>
    <t>Dont Intérête concernant les entreprise liées</t>
  </si>
  <si>
    <t>unitaire</t>
  </si>
  <si>
    <t>Endettement financier</t>
  </si>
  <si>
    <t>Trésorerie passives</t>
  </si>
  <si>
    <t>Dotation et provision</t>
  </si>
  <si>
    <t>Ressources Propres</t>
  </si>
  <si>
    <t>Taux d'endettement financier</t>
  </si>
  <si>
    <t>Pourcentages des Dettes / ( Immo +Δ Stk + Clt + Trésorerie)</t>
  </si>
  <si>
    <t>RATIOS DE ROTATION</t>
  </si>
  <si>
    <t>EXTENSION</t>
  </si>
  <si>
    <t>Besoin de fond de roulement net</t>
  </si>
  <si>
    <t>B F R E / C A</t>
  </si>
  <si>
    <t>Besoin de fond de Roulement / CA</t>
  </si>
  <si>
    <t>Bilan Contractée</t>
  </si>
  <si>
    <t>Compte de Résultat Contracté</t>
  </si>
  <si>
    <t>CANADA</t>
  </si>
  <si>
    <t>ITALIE</t>
  </si>
  <si>
    <t>GRANDE BRETAGNE</t>
  </si>
  <si>
    <t>G 09 Nucléaire</t>
  </si>
  <si>
    <t>G8 Economique</t>
  </si>
  <si>
    <t>Asie</t>
  </si>
  <si>
    <t>Afrique centrale</t>
  </si>
  <si>
    <t>Afrique du sud</t>
  </si>
  <si>
    <t>G10 Economique Continentale</t>
  </si>
  <si>
    <t>Europe de l'ouest (FR, All, Ang)</t>
  </si>
  <si>
    <t xml:space="preserve">Europe de l'est </t>
  </si>
  <si>
    <t>Amérique du Nord ( USA, Canada)</t>
  </si>
  <si>
    <t>Amérique du Sud ( Brésil, Argentine)</t>
  </si>
  <si>
    <t>Asie Mineure ( Turquie, Iran )</t>
  </si>
  <si>
    <t xml:space="preserve">Afrique du Nord </t>
  </si>
  <si>
    <t>Evolution du salaire moyen = (S n - Sn-1) / Sn</t>
  </si>
  <si>
    <t>Pourcentage des dettes / VA</t>
  </si>
  <si>
    <t>Rotation Immobilisation = CA / Immos ; % Immo/CA</t>
  </si>
  <si>
    <t>Rotation actifs = CA / Actifs total ;  % Actif / CA</t>
  </si>
  <si>
    <t>Capitaux permanents</t>
  </si>
  <si>
    <t>Produit brut d'exploitation</t>
  </si>
  <si>
    <t>charges brut d'exploitation</t>
  </si>
  <si>
    <t>Production bénéficiaire (Produit Brut de la Valeur Ajouté)</t>
  </si>
  <si>
    <t>Consommation de l'exercice provenant d'un tiers (ou Charge Brut de la Valeur Ajouté)</t>
  </si>
  <si>
    <t>Bénéfice / VA</t>
  </si>
  <si>
    <t>Stock / VA</t>
  </si>
  <si>
    <t>Légende : pour ne pas faire apparaitre les ratios non souhaité, saisissez x</t>
  </si>
  <si>
    <t>Evolution de l'effectifs de l'entreprise (En − En−1)/ En−1</t>
  </si>
  <si>
    <t>Salaire horaire my = Salaire mensuel my / nb heure my</t>
  </si>
  <si>
    <t>Salaire moyen / PNB européens</t>
  </si>
  <si>
    <t>Salaire moyen / PNB des américain</t>
  </si>
  <si>
    <t>Evolution des charges sociales (CS n − CS n-1) / CS n−1</t>
  </si>
  <si>
    <t>COMPTE                   DE                 BILAN</t>
  </si>
  <si>
    <t xml:space="preserve">Europe orientale ( Russie, </t>
  </si>
  <si>
    <t>Pays Ext</t>
  </si>
  <si>
    <t>1 $</t>
  </si>
  <si>
    <t>10 £</t>
  </si>
  <si>
    <t>Amort. &amp; Prov.</t>
  </si>
  <si>
    <t>avt retraitmt</t>
  </si>
  <si>
    <t>apr retraitmt</t>
  </si>
  <si>
    <t>N - 1</t>
  </si>
  <si>
    <t>Dette H E</t>
  </si>
  <si>
    <t>LES FONDS DE ROULEMENTS</t>
  </si>
  <si>
    <t>BILAN FONCTIONNELLES CONTRACTES</t>
  </si>
  <si>
    <t>Stocks</t>
  </si>
  <si>
    <t>initial</t>
  </si>
  <si>
    <t>final</t>
  </si>
  <si>
    <t>Page 1</t>
  </si>
  <si>
    <t>SIG</t>
  </si>
  <si>
    <t>BF</t>
  </si>
  <si>
    <t>FR</t>
  </si>
  <si>
    <t>Page  1</t>
  </si>
  <si>
    <t>R.FR</t>
  </si>
  <si>
    <t>PNB ETATS</t>
  </si>
  <si>
    <t>PNB Sté</t>
  </si>
  <si>
    <t>Produit</t>
  </si>
  <si>
    <t>Créances Hors Exploitation</t>
  </si>
  <si>
    <t>Dettes Hors Exploitation</t>
  </si>
  <si>
    <t>Dettes d'Exploitation</t>
  </si>
  <si>
    <t>Stocks &amp; Créance d'Exploitation</t>
  </si>
  <si>
    <t>Σ 1</t>
  </si>
  <si>
    <t xml:space="preserve">Σ </t>
  </si>
  <si>
    <t>Σ Impôts et taxes</t>
  </si>
  <si>
    <t>TVA ( N )</t>
  </si>
  <si>
    <t>T V A ( N - 1)</t>
  </si>
  <si>
    <t>Anne N</t>
  </si>
  <si>
    <t>MONTANT HT</t>
  </si>
  <si>
    <t>Total Classe 1</t>
  </si>
  <si>
    <t>Total Classe 2</t>
  </si>
  <si>
    <t>Total Classe 3</t>
  </si>
  <si>
    <t>Total Classe 4</t>
  </si>
  <si>
    <t>Banque</t>
  </si>
  <si>
    <t>Caisse</t>
  </si>
  <si>
    <t>Capital</t>
  </si>
  <si>
    <t>Autre réserve</t>
  </si>
  <si>
    <t>Emprunt et dettes auprès des ets fin</t>
  </si>
  <si>
    <t>Fond commercial</t>
  </si>
  <si>
    <t>Terrain</t>
  </si>
  <si>
    <t>Installation technique</t>
  </si>
  <si>
    <t>Autre immobilisation corporelle</t>
  </si>
  <si>
    <t>Total Classe 5</t>
  </si>
  <si>
    <t>Total Classe 6</t>
  </si>
  <si>
    <t>Total Classe 7</t>
  </si>
  <si>
    <t>Ammortissement des installation tech</t>
  </si>
  <si>
    <t>Ammortissement des autres immo corporelle</t>
  </si>
  <si>
    <t xml:space="preserve">DEBITS </t>
  </si>
  <si>
    <t>SOLDES TVA</t>
  </si>
  <si>
    <t>Débit</t>
  </si>
  <si>
    <t>Crédit</t>
  </si>
  <si>
    <t>Part équivalente de l'annuité de l'amortissemt</t>
  </si>
  <si>
    <t>avant retraitement des élément hors bilan</t>
  </si>
  <si>
    <t>après retraitement des élément hors bilan</t>
  </si>
  <si>
    <t>ANNEE N-1</t>
  </si>
  <si>
    <t>ACTIF IMMOBILISES</t>
  </si>
  <si>
    <t>PASSIF DES CAPITAUX</t>
  </si>
  <si>
    <t>BESOIN DE FOND DE ROULEMENT</t>
  </si>
  <si>
    <t>Σ</t>
  </si>
  <si>
    <t>Par défaut</t>
  </si>
  <si>
    <t>Stock moyen ( sur coût d'achat des marchandises)</t>
  </si>
  <si>
    <t xml:space="preserve">Délai de ratation des stock (/ marchandises) =                                     Stock my / Achat m/se               </t>
  </si>
  <si>
    <t xml:space="preserve">Délai de ratation des stock (/ production) =                 Stock my / Coût de production de produits finis              </t>
  </si>
  <si>
    <t>Produits finis</t>
  </si>
  <si>
    <t>Stock initiale</t>
  </si>
  <si>
    <t>DETERMINATION DU RESULTAT FISCAL</t>
  </si>
  <si>
    <t>désignation de l'entreprise</t>
  </si>
  <si>
    <t>Rénumération du travail</t>
  </si>
  <si>
    <t>de l'exploitant ou des sociétés</t>
  </si>
  <si>
    <t>de son conjoints</t>
  </si>
  <si>
    <t>moins part déductible</t>
  </si>
  <si>
    <t>Avantage personnel non déductible (Sf ammortissement à porter ligne ci-dessous)</t>
  </si>
  <si>
    <t>Autres charges et dépenses somptuaire visées à l'art 39.4 du C.G.I</t>
  </si>
  <si>
    <t>Taxe sur les voitures particulières des sociétés</t>
  </si>
  <si>
    <t>Provision et charges à payé non déductible</t>
  </si>
  <si>
    <t>Amendes et pénalités ( Nature : ..............................................................................................)</t>
  </si>
  <si>
    <t>Charges non admises en déduction du résultat fiscal</t>
  </si>
  <si>
    <t>Stock finale</t>
  </si>
  <si>
    <t>Compte de résultat :</t>
  </si>
  <si>
    <t>Dotation et ammortissement des charges indirecte incluse ds tableau de répartition</t>
  </si>
  <si>
    <t>k</t>
  </si>
  <si>
    <t>Délai de rotation des créances clients</t>
  </si>
  <si>
    <t>Créances clt et compte rattachés</t>
  </si>
  <si>
    <t xml:space="preserve">Effet escompté non échus </t>
  </si>
  <si>
    <t>CA TTC</t>
  </si>
  <si>
    <t>CA HT</t>
  </si>
  <si>
    <t>Coeficient majorateur de la TVA ( K)</t>
  </si>
  <si>
    <t>Délai de rotation des fournisseurs</t>
  </si>
  <si>
    <t>Dettes fournisseurs et comptes ratachés</t>
  </si>
  <si>
    <t>Achat HT</t>
  </si>
  <si>
    <t xml:space="preserve">TVA </t>
  </si>
  <si>
    <t>Coeficient TVA</t>
  </si>
  <si>
    <t>Achat TTC</t>
  </si>
  <si>
    <t>Matière première</t>
  </si>
  <si>
    <t>%</t>
  </si>
  <si>
    <t>TABLEAU DE VENTILATION DES CHARGES ET PRODUITS</t>
  </si>
  <si>
    <t>Fonction de production</t>
  </si>
  <si>
    <t>Fonction de distributon</t>
  </si>
  <si>
    <t>Charges commune non réparties</t>
  </si>
  <si>
    <t>Achats d'approvisionnement stockés ou non</t>
  </si>
  <si>
    <t>Services exterieurs</t>
  </si>
  <si>
    <t>Variable</t>
  </si>
  <si>
    <t>fixe</t>
  </si>
  <si>
    <t>Impôts taxes et versement assimilés</t>
  </si>
  <si>
    <t>Dotation au amortissement et aux provision</t>
  </si>
  <si>
    <t>Autres charges d'exploitation</t>
  </si>
  <si>
    <t>Reprises sur charges d'exploitation</t>
  </si>
  <si>
    <t>Stocks de la productions</t>
  </si>
  <si>
    <t>CAPACITE D'AUTOFINANCEMENT</t>
  </si>
  <si>
    <t>Valeurs nette comptable des éléments d'actifs cédés</t>
  </si>
  <si>
    <t xml:space="preserve">Produits des cessions d'élement d'actifs </t>
  </si>
  <si>
    <t>Reprises exceptionnelles</t>
  </si>
  <si>
    <t>Produit de cession net de VMP</t>
  </si>
  <si>
    <t>Reprises aux amortissements et aux provision</t>
  </si>
  <si>
    <t>Différence de charges positive</t>
  </si>
  <si>
    <t>Charges nette de cession de valeur mobilière de Placement</t>
  </si>
  <si>
    <t>Charges net de cession de VMP</t>
  </si>
  <si>
    <t>Reprises financières</t>
  </si>
  <si>
    <t>Dotation aux ammortissement sur Immo</t>
  </si>
  <si>
    <t>Dotation aux ammortissement sur AC</t>
  </si>
  <si>
    <t>Dotation aux Provision sur AC</t>
  </si>
  <si>
    <t>Dotation et ammortissement d'exploitation</t>
  </si>
  <si>
    <t>Solde dotation exeptionnel</t>
  </si>
  <si>
    <t>Solde dotation financières</t>
  </si>
  <si>
    <t>Soldes des dotation et ammortissement d'exploitation</t>
  </si>
  <si>
    <t>Reprises d'exploitation</t>
  </si>
  <si>
    <t>Reprises S/ Transfert charge Except.</t>
  </si>
  <si>
    <t>Capacité d'autofinancement</t>
  </si>
  <si>
    <t>Matière premières</t>
  </si>
  <si>
    <t>Stock marchandises</t>
  </si>
  <si>
    <t>Stock matière première</t>
  </si>
  <si>
    <t>vente de marchandise</t>
  </si>
  <si>
    <t>Vente de matière premières</t>
  </si>
  <si>
    <t>Vente de services</t>
  </si>
  <si>
    <t>CA hors taxe</t>
  </si>
  <si>
    <t>Charge de personnel</t>
  </si>
  <si>
    <t>Quote part mis en commun</t>
  </si>
  <si>
    <t>Charges exceptionnel</t>
  </si>
  <si>
    <t>Autre achat et charges externes</t>
  </si>
  <si>
    <t>Participation au fruit de l'expansion</t>
  </si>
  <si>
    <t xml:space="preserve">Dotation aux amortissement </t>
  </si>
  <si>
    <t>Impôt sur la fortune</t>
  </si>
  <si>
    <t>Production immobilisé</t>
  </si>
  <si>
    <t>Charges et produit par nature</t>
  </si>
  <si>
    <t>Achat de matière première</t>
  </si>
  <si>
    <t>Variation des de matière première</t>
  </si>
  <si>
    <t>Coût d'achat des matière premières</t>
  </si>
  <si>
    <t>Charge variable de production</t>
  </si>
  <si>
    <t>Coût variable de production</t>
  </si>
  <si>
    <t>COMPTE DE RESULTAT DIFFERENTIELLES OU TABLEAU D'EXPLOITATION DIFFERENTIELLE</t>
  </si>
  <si>
    <t>Charges variable de distribution</t>
  </si>
  <si>
    <t>Variation des stocks de produits finis</t>
  </si>
  <si>
    <t>Autres charges variables</t>
  </si>
  <si>
    <t>Charges variable comune non réparties</t>
  </si>
  <si>
    <t>Coût variables</t>
  </si>
  <si>
    <t>Coût de production fixe</t>
  </si>
  <si>
    <t>Coût de distribution fixe</t>
  </si>
  <si>
    <t>Coût des charges non réparties</t>
  </si>
  <si>
    <t>Autres produits d'exploitation</t>
  </si>
  <si>
    <t>Marges sur coût variable</t>
  </si>
  <si>
    <t>Charges fixes</t>
  </si>
  <si>
    <t xml:space="preserve">Délai de rotation des créances clts =                                  Créances et effets clt / CA TTC              </t>
  </si>
  <si>
    <t>DEFICIT, INDEMNITE POUR CONGES A PAYER ET PROVISION NON DEDUCTIBLE</t>
  </si>
  <si>
    <t xml:space="preserve"> PROVISION INSCRITE AU BILAN</t>
  </si>
  <si>
    <t>Imprimé n° 08</t>
  </si>
  <si>
    <t>DGI N 2056</t>
  </si>
  <si>
    <t>Imprimé n° 07</t>
  </si>
  <si>
    <t>Imprimé n° 06</t>
  </si>
  <si>
    <t>DGI N° : 2055</t>
  </si>
  <si>
    <t>Imprimé n° 05</t>
  </si>
  <si>
    <t>DGI N° : 2054</t>
  </si>
  <si>
    <t>IMMOBILISATION HORS BILAN</t>
  </si>
  <si>
    <t>Part équivalente à l'annuité de l'ammortissement</t>
  </si>
  <si>
    <t>CALCULS DES ANNUITES ET DES INTERETS DU CREDIT BAIL</t>
  </si>
  <si>
    <t xml:space="preserve">Délai de rotation des dettes frs =                                  Dettes frs / Achat TTC + Services TTC             </t>
  </si>
  <si>
    <t>Total des achats de marchandises</t>
  </si>
  <si>
    <t>Chiffre d'affaire</t>
  </si>
  <si>
    <t>Coût sur marges variables</t>
  </si>
  <si>
    <r>
      <t>−</t>
    </r>
    <r>
      <rPr>
        <sz val="10"/>
        <rFont val="Arial"/>
        <family val="0"/>
      </rPr>
      <t xml:space="preserve"> Charges fixe</t>
    </r>
  </si>
  <si>
    <t>− Coût variables</t>
  </si>
  <si>
    <t>CV</t>
  </si>
  <si>
    <t>MCV</t>
  </si>
  <si>
    <t>CF</t>
  </si>
  <si>
    <t>R</t>
  </si>
  <si>
    <t>TCV</t>
  </si>
  <si>
    <t>TMCV</t>
  </si>
  <si>
    <t>Marge de sécurité</t>
  </si>
  <si>
    <t>Seuil de rentabilité =</t>
  </si>
  <si>
    <t xml:space="preserve"> Marge de sécurité</t>
  </si>
  <si>
    <t>− SR</t>
  </si>
  <si>
    <t xml:space="preserve">  CA</t>
  </si>
  <si>
    <t>% du seuil de rentabilité =</t>
  </si>
  <si>
    <t>100 % - I S</t>
  </si>
  <si>
    <t>Indice de Sécurité =</t>
  </si>
  <si>
    <r>
      <t xml:space="preserve">12 mois </t>
    </r>
    <r>
      <rPr>
        <sz val="10"/>
        <rFont val="Times New Roman"/>
        <family val="1"/>
      </rPr>
      <t>×</t>
    </r>
    <r>
      <rPr>
        <sz val="10"/>
        <rFont val="Arial"/>
        <family val="0"/>
      </rPr>
      <t xml:space="preserve"> % I S</t>
    </r>
  </si>
  <si>
    <t>Nombre de mois pour obtenir le seuil de rentabilité</t>
  </si>
  <si>
    <t>heure initial</t>
  </si>
  <si>
    <t>h</t>
  </si>
  <si>
    <t>PAUSE</t>
  </si>
  <si>
    <t>Heure finale</t>
  </si>
  <si>
    <t>Date</t>
  </si>
  <si>
    <t>Mois</t>
  </si>
  <si>
    <t>Année</t>
  </si>
  <si>
    <t>min</t>
  </si>
  <si>
    <t>nuit</t>
  </si>
  <si>
    <t>jours</t>
  </si>
  <si>
    <t>pause</t>
  </si>
  <si>
    <t>Base de donnée</t>
  </si>
  <si>
    <t>Livre Journal</t>
  </si>
  <si>
    <t>Balance</t>
  </si>
  <si>
    <t>TABLE DES MATIERES</t>
  </si>
  <si>
    <t>Tableau des stocks</t>
  </si>
  <si>
    <t>Tableau des immobilisations</t>
  </si>
  <si>
    <t>Tableau des provision</t>
  </si>
  <si>
    <t>Tableau des titres</t>
  </si>
  <si>
    <t>Tableau des créances et dettes clients et fournisseurs</t>
  </si>
  <si>
    <t>Table des Salaire, PNB</t>
  </si>
  <si>
    <t>Jrs</t>
  </si>
  <si>
    <t>nombre d'heure de programmation sur la comptabilité analytique ( Cours de 253 pages)</t>
  </si>
  <si>
    <t>Tableau des retraitements</t>
  </si>
  <si>
    <t>Actif net immobilisés</t>
  </si>
  <si>
    <t>Capital souscrit non appelé</t>
  </si>
  <si>
    <t>- frais d'etablissement</t>
  </si>
  <si>
    <t>- Fond commercial</t>
  </si>
  <si>
    <t>terrains</t>
  </si>
  <si>
    <t>Stock de matière première</t>
  </si>
  <si>
    <t>Stock de produit finis</t>
  </si>
  <si>
    <t>Charges à répartir sur +r exercices</t>
  </si>
  <si>
    <t>Capitaux propres :</t>
  </si>
  <si>
    <t>Capital social</t>
  </si>
  <si>
    <t>Primes d'émission (dont versé 6 200 000)</t>
  </si>
  <si>
    <t>Réserves légales</t>
  </si>
  <si>
    <t>Réserves réglementés</t>
  </si>
  <si>
    <t>Autres réserves</t>
  </si>
  <si>
    <t>Dettes</t>
  </si>
  <si>
    <t xml:space="preserve">Emprunts et dettes auprès des ets </t>
  </si>
  <si>
    <t>Dettes fournisseurs et rataché</t>
  </si>
  <si>
    <t>Autres Dettes</t>
  </si>
  <si>
    <t>Ecart de conversion passif</t>
  </si>
  <si>
    <t>Total des capitaux propres</t>
  </si>
  <si>
    <t>Compte de Résultat</t>
  </si>
  <si>
    <t>Compte de Bilan</t>
  </si>
  <si>
    <t>Tableau d'exploitation différentielles</t>
  </si>
  <si>
    <t>Seuil de rentabilité</t>
  </si>
  <si>
    <t>Soldes intermédiaire de Gestion 1</t>
  </si>
  <si>
    <t>Bilan Fonctionnelle</t>
  </si>
  <si>
    <t>Tableau de Financement</t>
  </si>
  <si>
    <t>Tableau de redistribution de la Valeur Ajouté</t>
  </si>
  <si>
    <t>Tablea de redistribution des imposition</t>
  </si>
  <si>
    <t>Documents de synthèse</t>
  </si>
  <si>
    <t>Comptabilité analytique</t>
  </si>
  <si>
    <t>Comptabilité prévisionnelle</t>
  </si>
  <si>
    <t>BD</t>
  </si>
  <si>
    <t>ONGLET</t>
  </si>
  <si>
    <t>LIBELLE</t>
  </si>
  <si>
    <t>LV</t>
  </si>
  <si>
    <t>Blce</t>
  </si>
  <si>
    <t>Imo</t>
  </si>
  <si>
    <t>Amort</t>
  </si>
  <si>
    <t>Prov</t>
  </si>
  <si>
    <t>Clt, Frs</t>
  </si>
  <si>
    <t>S</t>
  </si>
  <si>
    <t>B</t>
  </si>
  <si>
    <t>TED</t>
  </si>
  <si>
    <t>SR</t>
  </si>
  <si>
    <t>SIG0</t>
  </si>
  <si>
    <t>TF</t>
  </si>
  <si>
    <t>Tax</t>
  </si>
  <si>
    <t>DOC</t>
  </si>
  <si>
    <t>Analys</t>
  </si>
  <si>
    <t>Prev</t>
  </si>
  <si>
    <t>Représentation Graphique</t>
  </si>
  <si>
    <t>Graph</t>
  </si>
  <si>
    <t>TTC</t>
  </si>
  <si>
    <t>Mensuel</t>
  </si>
  <si>
    <t>EBE</t>
  </si>
  <si>
    <t>CP</t>
  </si>
  <si>
    <t>Taux de la valeur ajouté =</t>
  </si>
  <si>
    <t>Part des charges de personnel ds VA =</t>
  </si>
  <si>
    <t>Poids de la politique financières =</t>
  </si>
  <si>
    <t>Montant brut</t>
  </si>
  <si>
    <t>A 1 an au plus</t>
  </si>
  <si>
    <t>A plus d'un an</t>
  </si>
  <si>
    <t>Créances rattachés à des participations</t>
  </si>
  <si>
    <t>Autres immobilisations financières</t>
  </si>
  <si>
    <t>Charges d'intérêts</t>
  </si>
  <si>
    <t>89700 ?</t>
  </si>
  <si>
    <t>De l'actif Immobilisé</t>
  </si>
  <si>
    <t>Clients douteux ou litigieux</t>
  </si>
  <si>
    <t>Autres créances clients</t>
  </si>
  <si>
    <t>Personnel et compte rattachés</t>
  </si>
  <si>
    <t>Sécurité sociale et autre organisme sociaux</t>
  </si>
  <si>
    <t>Créances représentatives à des titres (dont prov antérieur)</t>
  </si>
  <si>
    <t>Taxes sur la valeur Ajouté</t>
  </si>
  <si>
    <t>Autres impôts, taxes et versmt assimilés</t>
  </si>
  <si>
    <t>Etat et autres collectivité publiques</t>
  </si>
  <si>
    <t>Groupe et associé</t>
  </si>
  <si>
    <t>Débiteur diviers (dont créances relatives à des opérations de pensions de titres</t>
  </si>
  <si>
    <t>De l'actif Circulant</t>
  </si>
  <si>
    <t>TOTAUX</t>
  </si>
  <si>
    <t>Prêts à accordé en cours d'exercice</t>
  </si>
  <si>
    <t>Remboursement obtenus en cours d'exercices</t>
  </si>
  <si>
    <t>Prêts et avances consentis aux associés (pers phys.)</t>
  </si>
  <si>
    <t>Renvois</t>
  </si>
  <si>
    <t>CP Ville :</t>
  </si>
  <si>
    <t xml:space="preserve">             Charges constatés d'avances</t>
  </si>
  <si>
    <t>ETAT DES CREANCES</t>
  </si>
  <si>
    <t>bénéfice ou pertes</t>
  </si>
  <si>
    <t>Part équivalente à la chge intérêt</t>
  </si>
  <si>
    <t>ANNEE N-2</t>
  </si>
  <si>
    <t>Vente d'achat de Marchandises</t>
  </si>
  <si>
    <t>Coût d'achat des Marchandises Vendues</t>
  </si>
  <si>
    <t>ETAT DES ECHEANCES DES CREANCES ET DES DETTES A LA CLOTURE DE L'EXERCICES</t>
  </si>
  <si>
    <t>( 1 )</t>
  </si>
  <si>
    <t>( 2 )</t>
  </si>
  <si>
    <t>Montant des</t>
  </si>
  <si>
    <t>ETAT DES DETTES</t>
  </si>
  <si>
    <t>[1 ; 5 ans</t>
  </si>
  <si>
    <t>≤ 1 ans</t>
  </si>
  <si>
    <t xml:space="preserve">&gt; 5 ans </t>
  </si>
  <si>
    <t>Emprunts obligataire convertibles (1)</t>
  </si>
  <si>
    <t>à 2 ans maximums</t>
  </si>
  <si>
    <t>à plus de 2 ans à l'origine</t>
  </si>
  <si>
    <t>Emprunts et dettes financières</t>
  </si>
  <si>
    <t>Fournisseurs et compte ratachés</t>
  </si>
  <si>
    <t>dont versé :</t>
  </si>
  <si>
    <t xml:space="preserve">Dettes </t>
  </si>
  <si>
    <t>bénef ou perte</t>
  </si>
  <si>
    <t>Rentabilité des K propres  hors exploitation=                                               Résultat courant / K propres</t>
  </si>
  <si>
    <t>Rentabilité des capitaux propres =                                               Résultat exercices / K propres</t>
  </si>
  <si>
    <t xml:space="preserve">avant retraitement (Renvois) des SIG </t>
  </si>
  <si>
    <t>après retraitement (Renvois) des SIG</t>
  </si>
  <si>
    <t>Sécurité sociale et autre organismes sociaux</t>
  </si>
  <si>
    <t>Impôt sur les bénéfices</t>
  </si>
  <si>
    <t>Taxe sur la valeur Ajoutés</t>
  </si>
  <si>
    <t>Obligataire cautionnés</t>
  </si>
  <si>
    <t>Immo brute ou total immos de l'actif bilan</t>
  </si>
  <si>
    <t xml:space="preserve">Evolution des charges sociale  </t>
  </si>
  <si>
    <t>INFLATION  ANNUELLE ( Générale ; Sectorielle)</t>
  </si>
  <si>
    <t>Taux de marge brute d'exploitation = EBE / CA HT</t>
  </si>
  <si>
    <t>CAF</t>
  </si>
  <si>
    <t>Charge de personnel / VA</t>
  </si>
  <si>
    <t>Rentabilité de la main d'oeuvre en % : EBE / Salaire =</t>
  </si>
  <si>
    <t>Part des charges sociale moy / Charge personnel =</t>
  </si>
  <si>
    <t>Capacité d'autofinancement ( C A F )</t>
  </si>
  <si>
    <t>Pourcentage des dette =                                                  Dette / (CA + Patrimoine Immo)</t>
  </si>
  <si>
    <t>Autres Impôts, taxes et versements assimilés</t>
  </si>
  <si>
    <t>Dettes sur immobilisation et comptes ratachés</t>
  </si>
  <si>
    <t>Bilan simplifié</t>
  </si>
  <si>
    <t>Résultat de l'exercice (bénéfice, perte) Total IC</t>
  </si>
  <si>
    <t>Rentabilité économique 2 = Marge Brute d'Autofinancement/ CA</t>
  </si>
  <si>
    <t>Des explications concernant cette notice sont données dans la notice n° 2032</t>
  </si>
  <si>
    <t>Groupe et associés</t>
  </si>
  <si>
    <t>Autres dettes (dont relatives à des opérations de pension de titre</t>
  </si>
  <si>
    <t>Etat et autres collectivités publique</t>
  </si>
  <si>
    <t>Montant souscrit en cours d'exercices</t>
  </si>
  <si>
    <t>Emprunts remboursés en cours d'exercices</t>
  </si>
  <si>
    <t>Montant des divers emprunts et dettes contractés auprès des associés personne physiques</t>
  </si>
  <si>
    <t>Avance et acompte</t>
  </si>
  <si>
    <t xml:space="preserve">Achats de marchandises </t>
  </si>
  <si>
    <t>Vente de marchandises</t>
  </si>
  <si>
    <t>Variation de stock</t>
  </si>
  <si>
    <t>Achat de matières premières et autre approvisionnement</t>
  </si>
  <si>
    <t>Autre achats et charges externes</t>
  </si>
  <si>
    <t>Impots, taxes et versement assimilés</t>
  </si>
  <si>
    <t>Production stockées</t>
  </si>
  <si>
    <t>Production immobilisés</t>
  </si>
  <si>
    <t>Subvention d'exploitation</t>
  </si>
  <si>
    <t>Reprise sur ammortissement et provision, transfert de charge</t>
  </si>
  <si>
    <t>Autre produit</t>
  </si>
  <si>
    <t>Autres charges</t>
  </si>
  <si>
    <t>sous total B</t>
  </si>
  <si>
    <t>Quote part de résultats sur opération faites en commun (II)</t>
  </si>
  <si>
    <t>Charges financières :</t>
  </si>
  <si>
    <t>Produit financiers :</t>
  </si>
  <si>
    <t>Dotations aux amortissements et aux provisions</t>
  </si>
  <si>
    <t>De participations</t>
  </si>
  <si>
    <t>Intérêt et charges assimilés</t>
  </si>
  <si>
    <t>D'autres valeurs mobilières et créances de l'actif immo</t>
  </si>
  <si>
    <t>autres intérêts et produits assimilés</t>
  </si>
  <si>
    <t>Reprises sur provision et transfert de charges</t>
  </si>
  <si>
    <t>Différences positives de charge</t>
  </si>
  <si>
    <t>Produit nets sur cession de valeur mobilières de placements</t>
  </si>
  <si>
    <t>Charges exeptionnelles</t>
  </si>
  <si>
    <t>Produits exceptionnels :</t>
  </si>
  <si>
    <t>Sur opération de gestion</t>
  </si>
  <si>
    <t>Sur opérations de gestion</t>
  </si>
  <si>
    <t>Sur opération en capital</t>
  </si>
  <si>
    <t>Sur opérations en capital</t>
  </si>
  <si>
    <t>Dotation aux ammortissement et aux provisions</t>
  </si>
  <si>
    <t>TOTAL DES CHARGES (I+II+III+IV+V)</t>
  </si>
  <si>
    <t>TOTAL DES PRODUITS (I + II + III + IV)</t>
  </si>
  <si>
    <t>soldes créditeurs = bénéfices (6)</t>
  </si>
  <si>
    <t xml:space="preserve"> Soldes débiteurs = pertes</t>
  </si>
  <si>
    <t>TOTAL  GENERAL</t>
  </si>
  <si>
    <t>TOTAL GENERAL</t>
  </si>
  <si>
    <t>IMMOBILISATION INCORPORELLES :</t>
  </si>
  <si>
    <t>Frais d'établissement</t>
  </si>
  <si>
    <t>Frais de recherche et de dévelloppement</t>
  </si>
  <si>
    <t>Primes d'émission, de fusion, d'apport</t>
  </si>
  <si>
    <t>Concessions, brevets, licences, marques, procédés</t>
  </si>
  <si>
    <t>Ecart de réévaluation</t>
  </si>
  <si>
    <t>droits et valeurs similaires</t>
  </si>
  <si>
    <t>Fonds commercial</t>
  </si>
  <si>
    <t>RESERVES</t>
  </si>
  <si>
    <t>Autres immobilisations incorporelles</t>
  </si>
  <si>
    <t>Réserve légale</t>
  </si>
  <si>
    <t>Réserve statutaire et contractuelle</t>
  </si>
  <si>
    <t>IMMOBILISATION CORPORELLLES</t>
  </si>
  <si>
    <t>Autres</t>
  </si>
  <si>
    <t>Térrains</t>
  </si>
  <si>
    <t>Construction</t>
  </si>
  <si>
    <t>Report à nouveau</t>
  </si>
  <si>
    <t>Installation technique, matériel et outillage industriel</t>
  </si>
  <si>
    <t>Autre immobilisation corporelles</t>
  </si>
  <si>
    <t>Avances et acomptes</t>
  </si>
  <si>
    <t>IMMOBILISATION FINANCIERES</t>
  </si>
  <si>
    <t>Créances ratachées à des participations</t>
  </si>
  <si>
    <t>Provision pour risque</t>
  </si>
  <si>
    <t>Autres titres immobilisés</t>
  </si>
  <si>
    <t>Provision pour charge</t>
  </si>
  <si>
    <t>Prêts</t>
  </si>
  <si>
    <t>Autre immobilisation financières</t>
  </si>
  <si>
    <t>Emprunts obligataires convertibles</t>
  </si>
  <si>
    <t>STOCK ET EN COURS</t>
  </si>
  <si>
    <t>Autres emprunts obligataire</t>
  </si>
  <si>
    <t>Matière première  et autres approvisionnement</t>
  </si>
  <si>
    <t>Emprunts et dettes auprès des ets de crédits</t>
  </si>
  <si>
    <t>Produits intermédiaires</t>
  </si>
  <si>
    <t>Marchandises</t>
  </si>
  <si>
    <t>Capital souscrit et appelé, non versé</t>
  </si>
  <si>
    <t>Autres titres</t>
  </si>
  <si>
    <t>Disponibilités</t>
  </si>
  <si>
    <t>Année n</t>
  </si>
  <si>
    <t>Année n-1</t>
  </si>
  <si>
    <t>Année n-2</t>
  </si>
  <si>
    <t>Total I.1</t>
  </si>
  <si>
    <t>Total I.2</t>
  </si>
  <si>
    <t>Total I.3</t>
  </si>
  <si>
    <t>Quote part de résultat sur opération faites en commun</t>
  </si>
  <si>
    <t>Total III</t>
  </si>
  <si>
    <t xml:space="preserve">Produits constatés d'avances  </t>
  </si>
  <si>
    <t>N</t>
  </si>
  <si>
    <t>D</t>
  </si>
  <si>
    <t>N / D</t>
  </si>
  <si>
    <t>Rentabilité économique 1 = EBE / CA</t>
  </si>
  <si>
    <t>Rentabilité Actifs = EBE / Investissement</t>
  </si>
  <si>
    <t>RATIOS D'EXPLOITATION</t>
  </si>
  <si>
    <t>RATIOS DE RENTABILITE</t>
  </si>
  <si>
    <t>SEUIL DE RENTABILITE</t>
  </si>
  <si>
    <t>Taux de la valeur ajouté = VA / CA</t>
  </si>
  <si>
    <t>Rentabilité Industrielle = EBE / Immos</t>
  </si>
  <si>
    <t>Rentabilité de la main d'Oeuvre = EBE / Effectifs</t>
  </si>
  <si>
    <t>Evolution EBE : EBE n - EBE n-1 / EBE n-1</t>
  </si>
  <si>
    <t>CA / Salarié</t>
  </si>
  <si>
    <t>VA / Salarié</t>
  </si>
  <si>
    <t>RATIOS FINANCIERS</t>
  </si>
  <si>
    <t>Autonomie des financements des Investissement = Fond propres / Actifs net</t>
  </si>
  <si>
    <t>Ratios de financement  = FR net / AC net</t>
  </si>
  <si>
    <t>Ratios de fond de roulement = FR net / AC net</t>
  </si>
  <si>
    <t>RATIOS D'ACTIVITES</t>
  </si>
  <si>
    <t>Stock / CA</t>
  </si>
  <si>
    <t>Stock / Conso quotidienne</t>
  </si>
  <si>
    <t>Délai de crédits moyen Frs = Frs / CA</t>
  </si>
  <si>
    <t>BFR / Jours sur CA = CA / Immo</t>
  </si>
  <si>
    <t>Rotation en Immos</t>
  </si>
  <si>
    <t>Rotation actifs</t>
  </si>
  <si>
    <t>RATIOS STRUCTUREL</t>
  </si>
  <si>
    <t>Poids des K fixes = Immo corp / Actif total</t>
  </si>
  <si>
    <t>Contrainte technico-éco = Stock / Actifs</t>
  </si>
  <si>
    <t>Clt + Effet à recevoir / Actif total</t>
  </si>
  <si>
    <t>Disponibilité / Actif total</t>
  </si>
  <si>
    <t>K propres / passif total</t>
  </si>
  <si>
    <t>K permanents / Passif total</t>
  </si>
  <si>
    <t>Dettes / Passif total</t>
  </si>
  <si>
    <t>Dettes à moyen et long termes / K propres</t>
  </si>
  <si>
    <t>Dette M &amp; L Termes / Marges brut</t>
  </si>
  <si>
    <t>EBE / Frais financiers</t>
  </si>
  <si>
    <t>Excedent brut d'exploitation</t>
  </si>
  <si>
    <t>Evolution du CA = ( CA n - CA n-1) / CA n-1</t>
  </si>
  <si>
    <t>Evolution de la VA = (VA n - VA n-1) / VA n-1</t>
  </si>
  <si>
    <t>Autres immobilisation incorporelles</t>
  </si>
  <si>
    <t>Terrains</t>
  </si>
  <si>
    <t>Constructions</t>
  </si>
  <si>
    <t>Autres immobilisation corporelles</t>
  </si>
  <si>
    <t>Frais de recherche et de développements</t>
  </si>
  <si>
    <t>Autres postes d'immobilisation incorporelles</t>
  </si>
  <si>
    <t>IMMOBILISATION INCORPORELLES</t>
  </si>
  <si>
    <t>IMMOBILISATION CORPORELLES</t>
  </si>
  <si>
    <t>sur sol propres</t>
  </si>
  <si>
    <t>sur sol d'autrui</t>
  </si>
  <si>
    <t>Installation générale, agencement et aménagement des constructions</t>
  </si>
  <si>
    <t>Installations techniques, matériel, et outillage industrielle</t>
  </si>
  <si>
    <t>installations générales, agencements, aménagement diverses</t>
  </si>
  <si>
    <t>Matériel de transport</t>
  </si>
  <si>
    <t>Matériel de bureau et informatique mobilier</t>
  </si>
  <si>
    <t>Emballages récupérables et divers</t>
  </si>
  <si>
    <t>Immobilisation corporelles en cours</t>
  </si>
  <si>
    <t>Participation évalués par mise en équivalence</t>
  </si>
  <si>
    <t>Autres participations</t>
  </si>
  <si>
    <t>Prêts et autres immobilisation financières</t>
  </si>
  <si>
    <t>Total IV</t>
  </si>
  <si>
    <t>Valeur brute des immobilisations au début de l'exercices</t>
  </si>
  <si>
    <t>Concession à une réévaluation pratiqués au cours de l'exercice ou résultant d'une mise en équivalence</t>
  </si>
  <si>
    <t>CADRE A</t>
  </si>
  <si>
    <t>IMMOBILISATIONS</t>
  </si>
  <si>
    <t>Acquisition, création, apport &amp; virement de poste à poste</t>
  </si>
  <si>
    <t>Total I</t>
  </si>
  <si>
    <t>Total II</t>
  </si>
  <si>
    <t>TOTAL GENERAL ( I + II + III + IV)</t>
  </si>
  <si>
    <t>CADRE B</t>
  </si>
  <si>
    <t>Par cessions à des tiers ou mise hors service ou résultant d'une mise en équivalence</t>
  </si>
  <si>
    <t>Réévaluation légale ou évaluation par mise en équivalence</t>
  </si>
  <si>
    <t>Vakeur d'origine des immobilisation en fin d'exercices</t>
  </si>
  <si>
    <t>Valeur brutes des immobilisation à la fin de l'exercices</t>
  </si>
  <si>
    <t>DIMINUTIONS</t>
  </si>
  <si>
    <t>TABLEAU D'AMMORTISSEMENT</t>
  </si>
  <si>
    <t>1 ans</t>
  </si>
  <si>
    <t>[1;5] ans</t>
  </si>
  <si>
    <t>&gt; 5 ans</t>
  </si>
  <si>
    <t>Nom de la société :</t>
  </si>
  <si>
    <t>Adresse :</t>
  </si>
  <si>
    <t>CP, Ville :</t>
  </si>
  <si>
    <t>SITUATION ET MOUVEMENT DE L'EXERCICES</t>
  </si>
  <si>
    <t>IMMOBILISATION AMMORTISSABLE</t>
  </si>
  <si>
    <t>Frais d'etablissement, de recherche et de développement</t>
  </si>
  <si>
    <t>Inst. générale, agencements et aménagement divers</t>
  </si>
  <si>
    <t>Installation techniques, matériel et outillage industriel</t>
  </si>
  <si>
    <t>IMMOBILISATION INCORPORELES</t>
  </si>
  <si>
    <t>Production vendues ( Biens)</t>
  </si>
  <si>
    <t>Total</t>
  </si>
  <si>
    <t>Charges d'exploitations :</t>
  </si>
  <si>
    <t>Produits d'exploitation :</t>
  </si>
  <si>
    <t>sous total A - Montant net du chiffre d'affaires (= CA)</t>
  </si>
  <si>
    <t>Production vendues ( Services)</t>
  </si>
  <si>
    <t>Salaire et traitement</t>
  </si>
  <si>
    <t>Charges sociales</t>
  </si>
  <si>
    <t>Sur immobilisation</t>
  </si>
  <si>
    <t>Sur actif circulant</t>
  </si>
  <si>
    <t xml:space="preserve"> dotation aux amortissements</t>
  </si>
  <si>
    <t xml:space="preserve"> dotations aux provision</t>
  </si>
  <si>
    <t>Total des charges d'exploitation</t>
  </si>
  <si>
    <t>Dotations aux ammortissements et aux provisions :</t>
  </si>
  <si>
    <t>Production Vendues</t>
  </si>
  <si>
    <t>Achat de marchandises</t>
  </si>
  <si>
    <t>Production Immobilisé</t>
  </si>
  <si>
    <t>Production de l'exercices</t>
  </si>
  <si>
    <t>Marges commerciales</t>
  </si>
  <si>
    <t>Exportation</t>
  </si>
  <si>
    <t>Pays</t>
  </si>
  <si>
    <t>Production stockés</t>
  </si>
  <si>
    <t>Production vendues de biens</t>
  </si>
  <si>
    <t>Production vendues de Services</t>
  </si>
  <si>
    <t>Variation des stock de m/ses</t>
  </si>
  <si>
    <t>Coût d'achat des Marchandises vendues</t>
  </si>
  <si>
    <t>Consommation externes</t>
  </si>
  <si>
    <t>Coût d'achat des marchandises</t>
  </si>
  <si>
    <t>Achat de matières premières</t>
  </si>
  <si>
    <t>Variation des matières premières</t>
  </si>
  <si>
    <t>Charges externes</t>
  </si>
  <si>
    <t>Valeurs ajoutés</t>
  </si>
  <si>
    <t>Valeurs Ajoutés</t>
  </si>
  <si>
    <t>Charges de personnel</t>
  </si>
  <si>
    <t>Salaire et traitements</t>
  </si>
  <si>
    <t>Charges de peronnel</t>
  </si>
  <si>
    <t>Impôts, taxes et versement assimilés</t>
  </si>
  <si>
    <t>Excédent brut d'exploitation</t>
  </si>
  <si>
    <t>Reprise &amp; transfert de charges</t>
  </si>
  <si>
    <t>Autres produits</t>
  </si>
  <si>
    <t>Dotation aux ammortissement</t>
  </si>
  <si>
    <t xml:space="preserve"> dotation aux amortissements / Immos</t>
  </si>
  <si>
    <t xml:space="preserve"> dotations aux provision / Actif circulants</t>
  </si>
  <si>
    <t xml:space="preserve"> dotations aux provision / Immos</t>
  </si>
  <si>
    <t xml:space="preserve"> dotation aux amortissements / Actif circ.</t>
  </si>
  <si>
    <t>Résultat d'exploitation</t>
  </si>
  <si>
    <t>Résultat de l'exercices</t>
  </si>
  <si>
    <t>TOTAL DES CHARGES EXCEPTIONNELLES</t>
  </si>
  <si>
    <t>TOTAL DES CHARGES FINANCIERES</t>
  </si>
  <si>
    <t>TOTAL DES PRODUITS FINANCIERS</t>
  </si>
  <si>
    <t>TOTAL DES PRODUITS EXCEPTIONNELLES</t>
  </si>
  <si>
    <t>ANNEE N</t>
  </si>
  <si>
    <t>Impots sur les bénéfices                                    (Total V)</t>
  </si>
  <si>
    <t>Participation des salariés aux fruits de l'expansion   (IV)</t>
  </si>
  <si>
    <t>COMPTE DE</t>
  </si>
  <si>
    <t>RESULTAT</t>
  </si>
  <si>
    <t>Production stockés ou destockés</t>
  </si>
  <si>
    <t>Chiffre d'affaire net hors taxe</t>
  </si>
  <si>
    <t>Marges commerciales hors taxe</t>
  </si>
  <si>
    <t>Stokage de la productions</t>
  </si>
  <si>
    <t>Excedent Brut d'exploitation</t>
  </si>
  <si>
    <t>Produit financiers</t>
  </si>
  <si>
    <t>Charges d'exploitation</t>
  </si>
  <si>
    <t>Charges financières</t>
  </si>
  <si>
    <t>charges exeptionnelles</t>
  </si>
  <si>
    <t>Produit exeptionnelles</t>
  </si>
  <si>
    <t>Résultat courant avant impots</t>
  </si>
  <si>
    <t>Résultat exceptionnel</t>
  </si>
  <si>
    <t>Résultat courant avt impôts</t>
  </si>
  <si>
    <t>Participations</t>
  </si>
  <si>
    <t>Impôts sur les bénéfices</t>
  </si>
  <si>
    <t>RENVOIS</t>
  </si>
  <si>
    <t>Produit des cessions d'élmts d'actif</t>
  </si>
  <si>
    <t>Valeur comptable des élmt cédés</t>
  </si>
  <si>
    <t>Dont charges d'exploitation afférentes à des exercices antérieur</t>
  </si>
  <si>
    <t>Dont</t>
  </si>
  <si>
    <t>Crédit-bail mobilier</t>
  </si>
  <si>
    <t>Crédit-bail immobilier</t>
  </si>
  <si>
    <t>Dont produit net partiel sur opération à long termes</t>
  </si>
  <si>
    <t>Dont Produit de locations immobilière</t>
  </si>
  <si>
    <t>Dont Produit d'exploitation afférente à des exercices antérieurs</t>
  </si>
  <si>
    <t>Total des produits d'exploitation (I)</t>
  </si>
  <si>
    <t>Dont Produit concernant les entreprises liées</t>
  </si>
  <si>
    <t>Détail des charges exceptionnel</t>
  </si>
  <si>
    <t>Détail des produits exceptionnel</t>
  </si>
  <si>
    <t>Produit de cession d'élements d'actifs</t>
  </si>
  <si>
    <t>Plus et moins value S/ cession d'élement d'actif</t>
  </si>
  <si>
    <t>Dotation exeptionnel</t>
  </si>
  <si>
    <t>Dotation financières</t>
  </si>
  <si>
    <t>Reprise d'exploitation</t>
  </si>
  <si>
    <t>Charges d'exploitations</t>
  </si>
  <si>
    <t>Reprise sur transfert &amp; charges</t>
  </si>
  <si>
    <t>Autres Produit</t>
  </si>
  <si>
    <t>Achat de marchandises vendues</t>
  </si>
  <si>
    <t>Consommation de l'exercice provenant d'un tiers</t>
  </si>
  <si>
    <t>Soldes intermédiaire de gestion du résultat</t>
  </si>
  <si>
    <t>Produits du compte de résultat</t>
  </si>
  <si>
    <t>Charges du compte de résultat</t>
  </si>
  <si>
    <t>PRODUITS</t>
  </si>
  <si>
    <t>CHARGES</t>
  </si>
  <si>
    <t>SOLDES</t>
  </si>
  <si>
    <t>Primes de remboursements des obligations      ( IV)</t>
  </si>
  <si>
    <t>Charges à répartir sur plusieur exercices            (III)</t>
  </si>
  <si>
    <t>En cours de production ( Biens et services)</t>
  </si>
  <si>
    <t>Dettes frs &amp; Cptes rattachés      (Total IV B)</t>
  </si>
  <si>
    <t>Dettes &lt; 1 ans</t>
  </si>
  <si>
    <t>Dettes  [1;5]</t>
  </si>
  <si>
    <t>Dettes &gt; 5</t>
  </si>
  <si>
    <t>Ecart de conversion (V)</t>
  </si>
  <si>
    <t>Avances et acomptes reçus sur Cde en cours</t>
  </si>
  <si>
    <t>Emprunts et dettes financières ( TOTAL IV A )</t>
  </si>
  <si>
    <t>ACTIF</t>
  </si>
  <si>
    <t>PASSIF</t>
  </si>
  <si>
    <t>NOM DE LA SOCIETE</t>
  </si>
  <si>
    <t>EFFECTIFS</t>
  </si>
  <si>
    <t>Dettes fiscales et sociale  ( Total IV D)</t>
  </si>
  <si>
    <t>TOTAL III</t>
  </si>
  <si>
    <t>Montant des ammortissement au début de l'exercice</t>
  </si>
  <si>
    <t>Augmentation : dotation de l'exercices</t>
  </si>
  <si>
    <t>Diminution : Ammortissement afferents aux éléments sortis de l'actif et reprises</t>
  </si>
  <si>
    <t>Montant des ammortissement à la fin de l'exercices</t>
  </si>
  <si>
    <t>immobilisation ammortissable</t>
  </si>
  <si>
    <t>Ammortissement linéaire</t>
  </si>
  <si>
    <t>Ammortissement dégréssif</t>
  </si>
  <si>
    <t>construction</t>
  </si>
  <si>
    <t>Sur sol propre</t>
  </si>
  <si>
    <t>Sur sol d'autrui</t>
  </si>
  <si>
    <t>Inst. Générale et amm des cte</t>
  </si>
  <si>
    <t>Installation technique et outillage industriel</t>
  </si>
  <si>
    <t>Inst. Gal, agencmt am, divers</t>
  </si>
  <si>
    <t>Matériel de bureau</t>
  </si>
  <si>
    <t>Emballage récup. et divers</t>
  </si>
  <si>
    <t>Autres Immo corp.</t>
  </si>
  <si>
    <t xml:space="preserve">Total Général </t>
  </si>
  <si>
    <t>Cadre D</t>
  </si>
  <si>
    <t>Mouvement de l'exercice affectant les charges réparties sur plusieurs exercices</t>
  </si>
  <si>
    <t>Chges à répartir sur plusieurs exercices</t>
  </si>
  <si>
    <t>Primes de remboursement des obligations</t>
  </si>
  <si>
    <t>Montant net de l'exercice</t>
  </si>
  <si>
    <t>Augmentation</t>
  </si>
  <si>
    <t>Dotation de l'exercices au ammortissements</t>
  </si>
  <si>
    <t>Montant net à la fin de l'exercices</t>
  </si>
  <si>
    <t>Ammortissement exeptionnel</t>
  </si>
  <si>
    <t>Dotations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</si>
</sst>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0\ \F"/>
    <numFmt numFmtId="170" formatCode="_([$€]* #,##0.00_);_([$€]* \(#,##0.00\);_([$€]* &quot;-&quot;??_);_(@_)"/>
    <numFmt numFmtId="171" formatCode="#,##0.00\ &quot;€&quot;"/>
    <numFmt numFmtId="172" formatCode="[$-40C]dddd\ d\ mmmm\ yyyy"/>
    <numFmt numFmtId="173" formatCode="[$-F800]dddd\,\ mmmm\ dd\,\ yyyy"/>
    <numFmt numFmtId="174" formatCode="#,##0.00_ ;[Red]\-#,##0.00\ "/>
    <numFmt numFmtId="175" formatCode="##,##0.00"/>
    <numFmt numFmtId="176" formatCode="#,##0.00,\F"/>
    <numFmt numFmtId="177" formatCode="#,##0.00\ _€"/>
    <numFmt numFmtId="178" formatCode="#,##0.000"/>
    <numFmt numFmtId="179" formatCode="0.0000"/>
    <numFmt numFmtId="180" formatCode="0.000"/>
    <numFmt numFmtId="181" formatCode="#,##0.0000"/>
    <numFmt numFmtId="182" formatCode="0.00,&quot; Jrs&quot;"/>
    <numFmt numFmtId="183" formatCode="#,##0.00,,&quot;Jrs&quot;"/>
    <numFmt numFmtId="184" formatCode="#,##0.00,,&quot;  Jrs&quot;"/>
    <numFmt numFmtId="185" formatCode="#,##0.00,\ &quot; Jrs&quot;"/>
    <numFmt numFmtId="186" formatCode="_-* #,##0.00\ _F_-;\-* #,##0.00\ _F_-;_-* &quot;-&quot;??\ _F_-;_-@_-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0"/>
      <color indexed="63"/>
      <name val="Arial"/>
      <family val="0"/>
    </font>
    <font>
      <sz val="10"/>
      <color indexed="6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</fills>
  <borders count="1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 style="dashed"/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dashed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dashed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dashed"/>
    </border>
    <border>
      <left style="thin"/>
      <right style="dashed"/>
      <top style="medium"/>
      <bottom>
        <color indexed="63"/>
      </bottom>
    </border>
    <border>
      <left style="dashed"/>
      <right style="thin"/>
      <top style="medium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dashed"/>
    </border>
    <border>
      <left style="thin"/>
      <right style="dashed"/>
      <top>
        <color indexed="63"/>
      </top>
      <bottom style="dashed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 style="dashed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medium"/>
    </border>
    <border>
      <left style="thin"/>
      <right style="thin"/>
      <top>
        <color indexed="63"/>
      </top>
      <bottom style="dashed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170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9" fillId="30" borderId="0" applyNumberFormat="0" applyBorder="0" applyAlignment="0" applyProtection="0"/>
    <xf numFmtId="9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2097"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/>
      <protection locked="0"/>
    </xf>
    <xf numFmtId="0" fontId="4" fillId="0" borderId="14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 wrapText="1"/>
    </xf>
    <xf numFmtId="0" fontId="0" fillId="0" borderId="15" xfId="0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0" xfId="0" applyFont="1" applyFill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22" xfId="0" applyFont="1" applyBorder="1" applyAlignment="1">
      <alignment horizontal="left" wrapText="1"/>
    </xf>
    <xf numFmtId="0" fontId="4" fillId="0" borderId="2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20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15" xfId="0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10" xfId="0" applyNumberFormat="1" applyFont="1" applyFill="1" applyBorder="1" applyAlignment="1" applyProtection="1">
      <alignment/>
      <protection locked="0"/>
    </xf>
    <xf numFmtId="4" fontId="4" fillId="0" borderId="20" xfId="0" applyNumberFormat="1" applyFont="1" applyFill="1" applyBorder="1" applyAlignment="1" applyProtection="1">
      <alignment/>
      <protection locked="0"/>
    </xf>
    <xf numFmtId="4" fontId="4" fillId="0" borderId="11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4" fontId="4" fillId="0" borderId="21" xfId="0" applyNumberFormat="1" applyFont="1" applyFill="1" applyBorder="1" applyAlignment="1" applyProtection="1">
      <alignment/>
      <protection locked="0"/>
    </xf>
    <xf numFmtId="0" fontId="4" fillId="0" borderId="21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23" xfId="0" applyNumberFormat="1" applyFont="1" applyFill="1" applyBorder="1" applyAlignment="1" applyProtection="1">
      <alignment/>
      <protection locked="0"/>
    </xf>
    <xf numFmtId="4" fontId="4" fillId="0" borderId="11" xfId="0" applyNumberFormat="1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4" fontId="4" fillId="0" borderId="12" xfId="0" applyNumberFormat="1" applyFont="1" applyFill="1" applyBorder="1" applyAlignment="1" applyProtection="1">
      <alignment/>
      <protection locked="0"/>
    </xf>
    <xf numFmtId="4" fontId="4" fillId="0" borderId="13" xfId="0" applyNumberFormat="1" applyFont="1" applyFill="1" applyBorder="1" applyAlignment="1" applyProtection="1">
      <alignment/>
      <protection locked="0"/>
    </xf>
    <xf numFmtId="4" fontId="4" fillId="0" borderId="13" xfId="0" applyNumberFormat="1" applyFont="1" applyBorder="1" applyAlignment="1">
      <alignment/>
    </xf>
    <xf numFmtId="4" fontId="4" fillId="0" borderId="13" xfId="0" applyNumberFormat="1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34" borderId="10" xfId="0" applyFont="1" applyFill="1" applyBorder="1" applyAlignment="1">
      <alignment/>
    </xf>
    <xf numFmtId="4" fontId="4" fillId="34" borderId="20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4" fontId="4" fillId="34" borderId="21" xfId="0" applyNumberFormat="1" applyFont="1" applyFill="1" applyBorder="1" applyAlignment="1">
      <alignment/>
    </xf>
    <xf numFmtId="0" fontId="4" fillId="34" borderId="21" xfId="0" applyFont="1" applyFill="1" applyBorder="1" applyAlignment="1">
      <alignment/>
    </xf>
    <xf numFmtId="4" fontId="4" fillId="34" borderId="23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0" fontId="4" fillId="34" borderId="16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33" borderId="15" xfId="0" applyFont="1" applyFill="1" applyBorder="1" applyAlignment="1">
      <alignment/>
    </xf>
    <xf numFmtId="4" fontId="4" fillId="33" borderId="24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4" fontId="4" fillId="33" borderId="22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4" fontId="4" fillId="33" borderId="25" xfId="0" applyNumberFormat="1" applyFont="1" applyFill="1" applyBorder="1" applyAlignment="1">
      <alignment/>
    </xf>
    <xf numFmtId="4" fontId="4" fillId="33" borderId="15" xfId="0" applyNumberFormat="1" applyFont="1" applyFill="1" applyBorder="1" applyAlignment="1">
      <alignment/>
    </xf>
    <xf numFmtId="0" fontId="4" fillId="33" borderId="0" xfId="0" applyNumberFormat="1" applyFont="1" applyFill="1" applyBorder="1" applyAlignment="1" applyProtection="1">
      <alignment/>
      <protection locked="0"/>
    </xf>
    <xf numFmtId="0" fontId="4" fillId="33" borderId="22" xfId="0" applyNumberFormat="1" applyFont="1" applyFill="1" applyBorder="1" applyAlignment="1" applyProtection="1">
      <alignment/>
      <protection locked="0"/>
    </xf>
    <xf numFmtId="0" fontId="4" fillId="33" borderId="16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4" fillId="34" borderId="13" xfId="0" applyNumberFormat="1" applyFont="1" applyFill="1" applyBorder="1" applyAlignment="1" applyProtection="1">
      <alignment/>
      <protection locked="0"/>
    </xf>
    <xf numFmtId="4" fontId="4" fillId="34" borderId="21" xfId="0" applyNumberFormat="1" applyFont="1" applyFill="1" applyBorder="1" applyAlignment="1" applyProtection="1">
      <alignment/>
      <protection locked="0"/>
    </xf>
    <xf numFmtId="4" fontId="4" fillId="34" borderId="13" xfId="0" applyNumberFormat="1" applyFont="1" applyFill="1" applyBorder="1" applyAlignment="1" applyProtection="1">
      <alignment/>
      <protection locked="0"/>
    </xf>
    <xf numFmtId="4" fontId="4" fillId="34" borderId="18" xfId="0" applyNumberFormat="1" applyFont="1" applyFill="1" applyBorder="1" applyAlignment="1" applyProtection="1">
      <alignment/>
      <protection locked="0"/>
    </xf>
    <xf numFmtId="4" fontId="4" fillId="34" borderId="17" xfId="0" applyNumberFormat="1" applyFont="1" applyFill="1" applyBorder="1" applyAlignment="1" applyProtection="1">
      <alignment/>
      <protection locked="0"/>
    </xf>
    <xf numFmtId="4" fontId="4" fillId="34" borderId="26" xfId="0" applyNumberFormat="1" applyFont="1" applyFill="1" applyBorder="1" applyAlignment="1" applyProtection="1">
      <alignment/>
      <protection locked="0"/>
    </xf>
    <xf numFmtId="0" fontId="4" fillId="34" borderId="26" xfId="0" applyNumberFormat="1" applyFont="1" applyFill="1" applyBorder="1" applyAlignment="1" applyProtection="1">
      <alignment horizontal="right"/>
      <protection locked="0"/>
    </xf>
    <xf numFmtId="4" fontId="4" fillId="34" borderId="19" xfId="0" applyNumberFormat="1" applyFont="1" applyFill="1" applyBorder="1" applyAlignment="1" applyProtection="1">
      <alignment/>
      <protection locked="0"/>
    </xf>
    <xf numFmtId="0" fontId="4" fillId="34" borderId="26" xfId="0" applyNumberFormat="1" applyFont="1" applyFill="1" applyBorder="1" applyAlignment="1" applyProtection="1">
      <alignment/>
      <protection locked="0"/>
    </xf>
    <xf numFmtId="4" fontId="4" fillId="34" borderId="18" xfId="0" applyNumberFormat="1" applyFont="1" applyFill="1" applyBorder="1" applyAlignment="1">
      <alignment/>
    </xf>
    <xf numFmtId="4" fontId="4" fillId="34" borderId="17" xfId="0" applyNumberFormat="1" applyFont="1" applyFill="1" applyBorder="1" applyAlignment="1">
      <alignment/>
    </xf>
    <xf numFmtId="4" fontId="4" fillId="34" borderId="26" xfId="0" applyNumberFormat="1" applyFont="1" applyFill="1" applyBorder="1" applyAlignment="1">
      <alignment/>
    </xf>
    <xf numFmtId="4" fontId="4" fillId="34" borderId="19" xfId="0" applyNumberFormat="1" applyFont="1" applyFill="1" applyBorder="1" applyAlignment="1">
      <alignment/>
    </xf>
    <xf numFmtId="0" fontId="7" fillId="35" borderId="19" xfId="0" applyNumberFormat="1" applyFont="1" applyFill="1" applyBorder="1" applyAlignment="1" applyProtection="1">
      <alignment/>
      <protection locked="0"/>
    </xf>
    <xf numFmtId="0" fontId="4" fillId="35" borderId="19" xfId="0" applyNumberFormat="1" applyFont="1" applyFill="1" applyBorder="1" applyAlignment="1" applyProtection="1">
      <alignment/>
      <protection locked="0"/>
    </xf>
    <xf numFmtId="0" fontId="4" fillId="35" borderId="17" xfId="0" applyNumberFormat="1" applyFont="1" applyFill="1" applyBorder="1" applyAlignment="1" applyProtection="1">
      <alignment/>
      <protection locked="0"/>
    </xf>
    <xf numFmtId="0" fontId="4" fillId="0" borderId="20" xfId="0" applyNumberFormat="1" applyFont="1" applyFill="1" applyBorder="1" applyAlignment="1" applyProtection="1">
      <alignment/>
      <protection locked="0"/>
    </xf>
    <xf numFmtId="4" fontId="4" fillId="0" borderId="12" xfId="0" applyNumberFormat="1" applyFont="1" applyFill="1" applyBorder="1" applyAlignment="1" applyProtection="1">
      <alignment horizontal="center"/>
      <protection locked="0"/>
    </xf>
    <xf numFmtId="0" fontId="4" fillId="34" borderId="11" xfId="0" applyFont="1" applyFill="1" applyBorder="1" applyAlignment="1">
      <alignment horizontal="left"/>
    </xf>
    <xf numFmtId="0" fontId="4" fillId="33" borderId="21" xfId="0" applyFont="1" applyFill="1" applyBorder="1" applyAlignment="1">
      <alignment/>
    </xf>
    <xf numFmtId="4" fontId="4" fillId="33" borderId="21" xfId="0" applyNumberFormat="1" applyFont="1" applyFill="1" applyBorder="1" applyAlignment="1">
      <alignment/>
    </xf>
    <xf numFmtId="0" fontId="4" fillId="33" borderId="23" xfId="0" applyFont="1" applyFill="1" applyBorder="1" applyAlignment="1">
      <alignment/>
    </xf>
    <xf numFmtId="4" fontId="4" fillId="35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4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4" fontId="4" fillId="34" borderId="15" xfId="0" applyNumberFormat="1" applyFont="1" applyFill="1" applyBorder="1" applyAlignment="1">
      <alignment/>
    </xf>
    <xf numFmtId="4" fontId="4" fillId="34" borderId="25" xfId="0" applyNumberFormat="1" applyFont="1" applyFill="1" applyBorder="1" applyAlignment="1">
      <alignment/>
    </xf>
    <xf numFmtId="4" fontId="4" fillId="34" borderId="22" xfId="0" applyNumberFormat="1" applyFont="1" applyFill="1" applyBorder="1" applyAlignment="1">
      <alignment/>
    </xf>
    <xf numFmtId="4" fontId="4" fillId="33" borderId="20" xfId="0" applyNumberFormat="1" applyFont="1" applyFill="1" applyBorder="1" applyAlignment="1">
      <alignment/>
    </xf>
    <xf numFmtId="4" fontId="4" fillId="34" borderId="27" xfId="0" applyNumberFormat="1" applyFont="1" applyFill="1" applyBorder="1" applyAlignment="1">
      <alignment/>
    </xf>
    <xf numFmtId="4" fontId="4" fillId="33" borderId="27" xfId="0" applyNumberFormat="1" applyFont="1" applyFill="1" applyBorder="1" applyAlignment="1">
      <alignment/>
    </xf>
    <xf numFmtId="0" fontId="4" fillId="33" borderId="19" xfId="0" applyFont="1" applyFill="1" applyBorder="1" applyAlignment="1">
      <alignment/>
    </xf>
    <xf numFmtId="4" fontId="4" fillId="33" borderId="19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35" borderId="11" xfId="0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4" fontId="4" fillId="33" borderId="16" xfId="0" applyNumberFormat="1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4" fontId="4" fillId="35" borderId="11" xfId="0" applyNumberFormat="1" applyFont="1" applyFill="1" applyBorder="1" applyAlignment="1">
      <alignment/>
    </xf>
    <xf numFmtId="0" fontId="4" fillId="34" borderId="18" xfId="0" applyFont="1" applyFill="1" applyBorder="1" applyAlignment="1">
      <alignment/>
    </xf>
    <xf numFmtId="4" fontId="4" fillId="34" borderId="0" xfId="0" applyNumberFormat="1" applyFont="1" applyFill="1" applyBorder="1" applyAlignment="1">
      <alignment horizontal="right"/>
    </xf>
    <xf numFmtId="0" fontId="4" fillId="34" borderId="20" xfId="0" applyFont="1" applyFill="1" applyBorder="1" applyAlignment="1">
      <alignment/>
    </xf>
    <xf numFmtId="0" fontId="4" fillId="34" borderId="0" xfId="0" applyFont="1" applyFill="1" applyBorder="1" applyAlignment="1">
      <alignment horizontal="right"/>
    </xf>
    <xf numFmtId="4" fontId="4" fillId="33" borderId="0" xfId="0" applyNumberFormat="1" applyFont="1" applyFill="1" applyAlignment="1">
      <alignment horizontal="right"/>
    </xf>
    <xf numFmtId="4" fontId="4" fillId="34" borderId="22" xfId="0" applyNumberFormat="1" applyFont="1" applyFill="1" applyBorder="1" applyAlignment="1">
      <alignment horizontal="right"/>
    </xf>
    <xf numFmtId="0" fontId="8" fillId="35" borderId="11" xfId="0" applyFont="1" applyFill="1" applyBorder="1" applyAlignment="1">
      <alignment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10" fontId="0" fillId="0" borderId="21" xfId="0" applyNumberFormat="1" applyBorder="1" applyAlignment="1">
      <alignment/>
    </xf>
    <xf numFmtId="4" fontId="4" fillId="35" borderId="15" xfId="0" applyNumberFormat="1" applyFont="1" applyFill="1" applyBorder="1" applyAlignment="1">
      <alignment/>
    </xf>
    <xf numFmtId="4" fontId="4" fillId="35" borderId="25" xfId="0" applyNumberFormat="1" applyFont="1" applyFill="1" applyBorder="1" applyAlignment="1">
      <alignment/>
    </xf>
    <xf numFmtId="4" fontId="4" fillId="35" borderId="27" xfId="0" applyNumberFormat="1" applyFont="1" applyFill="1" applyBorder="1" applyAlignment="1">
      <alignment/>
    </xf>
    <xf numFmtId="4" fontId="4" fillId="35" borderId="22" xfId="0" applyNumberFormat="1" applyFont="1" applyFill="1" applyBorder="1" applyAlignment="1">
      <alignment/>
    </xf>
    <xf numFmtId="4" fontId="8" fillId="35" borderId="0" xfId="0" applyNumberFormat="1" applyFont="1" applyFill="1" applyBorder="1" applyAlignment="1">
      <alignment/>
    </xf>
    <xf numFmtId="0" fontId="4" fillId="0" borderId="25" xfId="0" applyFont="1" applyBorder="1" applyAlignment="1">
      <alignment/>
    </xf>
    <xf numFmtId="0" fontId="4" fillId="0" borderId="22" xfId="0" applyFont="1" applyBorder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5" borderId="0" xfId="0" applyFill="1" applyAlignment="1">
      <alignment/>
    </xf>
    <xf numFmtId="0" fontId="0" fillId="0" borderId="22" xfId="0" applyBorder="1" applyAlignment="1">
      <alignment/>
    </xf>
    <xf numFmtId="0" fontId="0" fillId="35" borderId="15" xfId="0" applyFill="1" applyBorder="1" applyAlignment="1">
      <alignment/>
    </xf>
    <xf numFmtId="0" fontId="0" fillId="36" borderId="0" xfId="0" applyFill="1" applyAlignment="1">
      <alignment/>
    </xf>
    <xf numFmtId="0" fontId="0" fillId="33" borderId="15" xfId="0" applyFill="1" applyBorder="1" applyAlignment="1">
      <alignment/>
    </xf>
    <xf numFmtId="10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174" fontId="0" fillId="0" borderId="0" xfId="0" applyNumberFormat="1" applyAlignment="1">
      <alignment wrapText="1"/>
    </xf>
    <xf numFmtId="174" fontId="0" fillId="35" borderId="15" xfId="0" applyNumberFormat="1" applyFill="1" applyBorder="1" applyAlignment="1">
      <alignment wrapText="1"/>
    </xf>
    <xf numFmtId="174" fontId="0" fillId="0" borderId="25" xfId="0" applyNumberFormat="1" applyBorder="1" applyAlignment="1">
      <alignment wrapText="1"/>
    </xf>
    <xf numFmtId="174" fontId="0" fillId="33" borderId="15" xfId="0" applyNumberFormat="1" applyFill="1" applyBorder="1" applyAlignment="1">
      <alignment wrapText="1"/>
    </xf>
    <xf numFmtId="174" fontId="0" fillId="0" borderId="27" xfId="0" applyNumberFormat="1" applyBorder="1" applyAlignment="1">
      <alignment wrapText="1"/>
    </xf>
    <xf numFmtId="174" fontId="0" fillId="0" borderId="0" xfId="0" applyNumberFormat="1" applyAlignment="1">
      <alignment/>
    </xf>
    <xf numFmtId="174" fontId="0" fillId="36" borderId="0" xfId="0" applyNumberFormat="1" applyFill="1" applyBorder="1" applyAlignment="1">
      <alignment wrapText="1"/>
    </xf>
    <xf numFmtId="174" fontId="0" fillId="36" borderId="15" xfId="0" applyNumberFormat="1" applyFill="1" applyBorder="1" applyAlignment="1">
      <alignment wrapText="1"/>
    </xf>
    <xf numFmtId="174" fontId="0" fillId="0" borderId="22" xfId="0" applyNumberFormat="1" applyBorder="1" applyAlignment="1">
      <alignment wrapText="1"/>
    </xf>
    <xf numFmtId="0" fontId="9" fillId="0" borderId="0" xfId="0" applyFont="1" applyFill="1" applyBorder="1" applyAlignment="1">
      <alignment/>
    </xf>
    <xf numFmtId="174" fontId="9" fillId="0" borderId="0" xfId="0" applyNumberFormat="1" applyFont="1" applyFill="1" applyBorder="1" applyAlignment="1">
      <alignment wrapText="1"/>
    </xf>
    <xf numFmtId="2" fontId="0" fillId="35" borderId="15" xfId="0" applyNumberFormat="1" applyFill="1" applyBorder="1" applyAlignment="1">
      <alignment/>
    </xf>
    <xf numFmtId="2" fontId="0" fillId="35" borderId="15" xfId="0" applyNumberFormat="1" applyFill="1" applyBorder="1" applyAlignment="1">
      <alignment wrapText="1"/>
    </xf>
    <xf numFmtId="4" fontId="0" fillId="0" borderId="28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25" xfId="0" applyNumberFormat="1" applyBorder="1" applyAlignment="1">
      <alignment/>
    </xf>
    <xf numFmtId="0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9" fontId="4" fillId="0" borderId="0" xfId="0" applyNumberFormat="1" applyFont="1" applyBorder="1" applyAlignment="1">
      <alignment/>
    </xf>
    <xf numFmtId="0" fontId="4" fillId="0" borderId="28" xfId="0" applyFont="1" applyBorder="1" applyAlignment="1">
      <alignment/>
    </xf>
    <xf numFmtId="10" fontId="4" fillId="0" borderId="0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10" fontId="4" fillId="0" borderId="25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10" fontId="4" fillId="0" borderId="28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10" fontId="4" fillId="0" borderId="27" xfId="0" applyNumberFormat="1" applyFont="1" applyBorder="1" applyAlignment="1">
      <alignment/>
    </xf>
    <xf numFmtId="0" fontId="4" fillId="37" borderId="0" xfId="0" applyFont="1" applyFill="1" applyAlignment="1">
      <alignment/>
    </xf>
    <xf numFmtId="4" fontId="4" fillId="37" borderId="0" xfId="0" applyNumberFormat="1" applyFont="1" applyFill="1" applyAlignment="1">
      <alignment/>
    </xf>
    <xf numFmtId="10" fontId="4" fillId="37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 horizontal="center"/>
    </xf>
    <xf numFmtId="4" fontId="0" fillId="0" borderId="20" xfId="0" applyNumberFormat="1" applyBorder="1" applyAlignment="1" quotePrefix="1">
      <alignment horizontal="center"/>
    </xf>
    <xf numFmtId="0" fontId="0" fillId="0" borderId="0" xfId="0" applyBorder="1" applyAlignment="1">
      <alignment horizontal="center"/>
    </xf>
    <xf numFmtId="4" fontId="0" fillId="0" borderId="21" xfId="0" applyNumberFormat="1" applyBorder="1" applyAlignment="1" quotePrefix="1">
      <alignment horizontal="center"/>
    </xf>
    <xf numFmtId="4" fontId="0" fillId="0" borderId="11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20" xfId="0" applyBorder="1" applyAlignment="1">
      <alignment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6" xfId="0" applyNumberFormat="1" applyBorder="1" applyAlignment="1">
      <alignment/>
    </xf>
    <xf numFmtId="0" fontId="4" fillId="34" borderId="22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4" fontId="4" fillId="35" borderId="13" xfId="0" applyNumberFormat="1" applyFont="1" applyFill="1" applyBorder="1" applyAlignment="1">
      <alignment/>
    </xf>
    <xf numFmtId="4" fontId="4" fillId="35" borderId="21" xfId="0" applyNumberFormat="1" applyFont="1" applyFill="1" applyBorder="1" applyAlignment="1">
      <alignment/>
    </xf>
    <xf numFmtId="4" fontId="4" fillId="35" borderId="23" xfId="0" applyNumberFormat="1" applyFont="1" applyFill="1" applyBorder="1" applyAlignment="1">
      <alignment/>
    </xf>
    <xf numFmtId="0" fontId="4" fillId="35" borderId="12" xfId="0" applyFont="1" applyFill="1" applyBorder="1" applyAlignment="1">
      <alignment/>
    </xf>
    <xf numFmtId="4" fontId="4" fillId="35" borderId="0" xfId="0" applyNumberFormat="1" applyFont="1" applyFill="1" applyBorder="1" applyAlignment="1">
      <alignment horizontal="center"/>
    </xf>
    <xf numFmtId="0" fontId="4" fillId="34" borderId="15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4" fontId="4" fillId="33" borderId="0" xfId="0" applyNumberFormat="1" applyFont="1" applyFill="1" applyBorder="1" applyAlignment="1">
      <alignment horizontal="right"/>
    </xf>
    <xf numFmtId="4" fontId="4" fillId="34" borderId="16" xfId="0" applyNumberFormat="1" applyFont="1" applyFill="1" applyBorder="1" applyAlignment="1">
      <alignment horizontal="right"/>
    </xf>
    <xf numFmtId="4" fontId="4" fillId="33" borderId="0" xfId="0" applyNumberFormat="1" applyFont="1" applyFill="1" applyBorder="1" applyAlignment="1">
      <alignment wrapText="1"/>
    </xf>
    <xf numFmtId="4" fontId="4" fillId="35" borderId="21" xfId="0" applyNumberFormat="1" applyFont="1" applyFill="1" applyBorder="1" applyAlignment="1">
      <alignment horizontal="center"/>
    </xf>
    <xf numFmtId="4" fontId="8" fillId="35" borderId="21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4" fillId="0" borderId="29" xfId="0" applyFont="1" applyBorder="1" applyAlignment="1">
      <alignment/>
    </xf>
    <xf numFmtId="0" fontId="4" fillId="0" borderId="24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Border="1" applyAlignment="1" quotePrefix="1">
      <alignment horizontal="center"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0" fontId="0" fillId="0" borderId="18" xfId="0" applyBorder="1" applyAlignment="1">
      <alignment/>
    </xf>
    <xf numFmtId="4" fontId="0" fillId="0" borderId="19" xfId="0" applyNumberFormat="1" applyBorder="1" applyAlignment="1">
      <alignment/>
    </xf>
    <xf numFmtId="4" fontId="0" fillId="0" borderId="17" xfId="0" applyNumberFormat="1" applyBorder="1" applyAlignment="1">
      <alignment/>
    </xf>
    <xf numFmtId="171" fontId="0" fillId="0" borderId="0" xfId="0" applyNumberFormat="1" applyBorder="1" applyAlignment="1">
      <alignment/>
    </xf>
    <xf numFmtId="4" fontId="4" fillId="34" borderId="18" xfId="0" applyNumberFormat="1" applyFont="1" applyFill="1" applyBorder="1" applyAlignment="1" applyProtection="1">
      <alignment/>
      <protection locked="0"/>
    </xf>
    <xf numFmtId="4" fontId="4" fillId="34" borderId="17" xfId="0" applyNumberFormat="1" applyFont="1" applyFill="1" applyBorder="1" applyAlignment="1" applyProtection="1">
      <alignment/>
      <protection locked="0"/>
    </xf>
    <xf numFmtId="4" fontId="4" fillId="34" borderId="26" xfId="0" applyNumberFormat="1" applyFont="1" applyFill="1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4" fillId="0" borderId="21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4" fontId="4" fillId="0" borderId="22" xfId="0" applyNumberFormat="1" applyFont="1" applyBorder="1" applyAlignment="1" applyProtection="1">
      <alignment/>
      <protection locked="0"/>
    </xf>
    <xf numFmtId="4" fontId="4" fillId="0" borderId="23" xfId="0" applyNumberFormat="1" applyFont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4" fontId="4" fillId="0" borderId="11" xfId="0" applyNumberFormat="1" applyFont="1" applyBorder="1" applyAlignment="1" applyProtection="1">
      <alignment/>
      <protection locked="0"/>
    </xf>
    <xf numFmtId="4" fontId="4" fillId="0" borderId="16" xfId="0" applyNumberFormat="1" applyFont="1" applyBorder="1" applyAlignment="1" applyProtection="1">
      <alignment/>
      <protection locked="0"/>
    </xf>
    <xf numFmtId="4" fontId="4" fillId="0" borderId="16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9" fontId="4" fillId="0" borderId="19" xfId="0" applyNumberFormat="1" applyFont="1" applyBorder="1" applyAlignment="1">
      <alignment horizontal="center"/>
    </xf>
    <xf numFmtId="4" fontId="0" fillId="0" borderId="20" xfId="0" applyNumberFormat="1" applyBorder="1" applyAlignment="1">
      <alignment/>
    </xf>
    <xf numFmtId="4" fontId="0" fillId="0" borderId="10" xfId="0" applyNumberFormat="1" applyBorder="1" applyAlignment="1">
      <alignment/>
    </xf>
    <xf numFmtId="171" fontId="0" fillId="0" borderId="22" xfId="0" applyNumberFormat="1" applyBorder="1" applyAlignment="1">
      <alignment/>
    </xf>
    <xf numFmtId="171" fontId="0" fillId="0" borderId="15" xfId="0" applyNumberFormat="1" applyBorder="1" applyAlignment="1">
      <alignment/>
    </xf>
    <xf numFmtId="177" fontId="4" fillId="0" borderId="0" xfId="0" applyNumberFormat="1" applyFont="1" applyFill="1" applyBorder="1" applyAlignment="1" applyProtection="1">
      <alignment/>
      <protection locked="0"/>
    </xf>
    <xf numFmtId="177" fontId="4" fillId="0" borderId="11" xfId="0" applyNumberFormat="1" applyFont="1" applyFill="1" applyBorder="1" applyAlignment="1" applyProtection="1">
      <alignment/>
      <protection locked="0"/>
    </xf>
    <xf numFmtId="177" fontId="4" fillId="0" borderId="11" xfId="0" applyNumberFormat="1" applyFont="1" applyFill="1" applyBorder="1" applyAlignment="1" applyProtection="1">
      <alignment horizontal="right"/>
      <protection locked="0"/>
    </xf>
    <xf numFmtId="4" fontId="4" fillId="0" borderId="15" xfId="0" applyNumberFormat="1" applyFont="1" applyFill="1" applyBorder="1" applyAlignment="1" applyProtection="1">
      <alignment/>
      <protection locked="0"/>
    </xf>
    <xf numFmtId="177" fontId="4" fillId="38" borderId="0" xfId="0" applyNumberFormat="1" applyFont="1" applyFill="1" applyBorder="1" applyAlignment="1" applyProtection="1">
      <alignment/>
      <protection locked="0"/>
    </xf>
    <xf numFmtId="177" fontId="4" fillId="0" borderId="21" xfId="0" applyNumberFormat="1" applyFont="1" applyFill="1" applyBorder="1" applyAlignment="1" applyProtection="1">
      <alignment/>
      <protection locked="0"/>
    </xf>
    <xf numFmtId="0" fontId="4" fillId="0" borderId="10" xfId="0" applyFont="1" applyBorder="1" applyAlignment="1">
      <alignment/>
    </xf>
    <xf numFmtId="171" fontId="4" fillId="0" borderId="0" xfId="0" applyNumberFormat="1" applyFont="1" applyBorder="1" applyAlignment="1">
      <alignment/>
    </xf>
    <xf numFmtId="171" fontId="4" fillId="0" borderId="21" xfId="0" applyNumberFormat="1" applyFont="1" applyBorder="1" applyAlignment="1">
      <alignment/>
    </xf>
    <xf numFmtId="177" fontId="4" fillId="34" borderId="11" xfId="0" applyNumberFormat="1" applyFont="1" applyFill="1" applyBorder="1" applyAlignment="1" applyProtection="1">
      <alignment/>
      <protection locked="0"/>
    </xf>
    <xf numFmtId="177" fontId="4" fillId="34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  <protection locked="0"/>
    </xf>
    <xf numFmtId="177" fontId="4" fillId="0" borderId="10" xfId="0" applyNumberFormat="1" applyFont="1" applyFill="1" applyBorder="1" applyAlignment="1" applyProtection="1">
      <alignment/>
      <protection locked="0"/>
    </xf>
    <xf numFmtId="177" fontId="4" fillId="0" borderId="20" xfId="0" applyNumberFormat="1" applyFont="1" applyFill="1" applyBorder="1" applyAlignment="1" applyProtection="1">
      <alignment/>
      <protection locked="0"/>
    </xf>
    <xf numFmtId="177" fontId="4" fillId="0" borderId="16" xfId="0" applyNumberFormat="1" applyFont="1" applyFill="1" applyBorder="1" applyAlignment="1" applyProtection="1">
      <alignment/>
      <protection locked="0"/>
    </xf>
    <xf numFmtId="4" fontId="4" fillId="0" borderId="15" xfId="0" applyNumberFormat="1" applyFont="1" applyFill="1" applyBorder="1" applyAlignment="1" applyProtection="1">
      <alignment horizontal="center"/>
      <protection locked="0"/>
    </xf>
    <xf numFmtId="4" fontId="4" fillId="0" borderId="20" xfId="0" applyNumberFormat="1" applyFont="1" applyFill="1" applyBorder="1" applyAlignment="1" applyProtection="1">
      <alignment horizontal="center"/>
      <protection locked="0"/>
    </xf>
    <xf numFmtId="177" fontId="4" fillId="34" borderId="13" xfId="0" applyNumberFormat="1" applyFont="1" applyFill="1" applyBorder="1" applyAlignment="1" applyProtection="1">
      <alignment horizontal="right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177" fontId="4" fillId="0" borderId="15" xfId="0" applyNumberFormat="1" applyFont="1" applyFill="1" applyBorder="1" applyAlignment="1" applyProtection="1">
      <alignment/>
      <protection locked="0"/>
    </xf>
    <xf numFmtId="177" fontId="4" fillId="34" borderId="12" xfId="0" applyNumberFormat="1" applyFont="1" applyFill="1" applyBorder="1" applyAlignment="1" applyProtection="1">
      <alignment/>
      <protection locked="0"/>
    </xf>
    <xf numFmtId="177" fontId="4" fillId="34" borderId="10" xfId="0" applyNumberFormat="1" applyFont="1" applyFill="1" applyBorder="1" applyAlignment="1" applyProtection="1">
      <alignment/>
      <protection locked="0"/>
    </xf>
    <xf numFmtId="177" fontId="4" fillId="38" borderId="15" xfId="0" applyNumberFormat="1" applyFont="1" applyFill="1" applyBorder="1" applyAlignment="1" applyProtection="1">
      <alignment/>
      <protection locked="0"/>
    </xf>
    <xf numFmtId="177" fontId="4" fillId="0" borderId="22" xfId="0" applyNumberFormat="1" applyFont="1" applyFill="1" applyBorder="1" applyAlignment="1" applyProtection="1">
      <alignment/>
      <protection locked="0"/>
    </xf>
    <xf numFmtId="4" fontId="11" fillId="0" borderId="32" xfId="0" applyNumberFormat="1" applyFont="1" applyFill="1" applyBorder="1" applyAlignment="1" applyProtection="1">
      <alignment/>
      <protection locked="0"/>
    </xf>
    <xf numFmtId="0" fontId="4" fillId="39" borderId="11" xfId="0" applyNumberFormat="1" applyFont="1" applyFill="1" applyBorder="1" applyAlignment="1" applyProtection="1">
      <alignment horizontal="right"/>
      <protection locked="0"/>
    </xf>
    <xf numFmtId="177" fontId="4" fillId="39" borderId="0" xfId="0" applyNumberFormat="1" applyFont="1" applyFill="1" applyBorder="1" applyAlignment="1" applyProtection="1">
      <alignment/>
      <protection locked="0"/>
    </xf>
    <xf numFmtId="0" fontId="4" fillId="0" borderId="15" xfId="0" applyFont="1" applyFill="1" applyBorder="1" applyAlignment="1">
      <alignment horizontal="center" wrapText="1"/>
    </xf>
    <xf numFmtId="0" fontId="4" fillId="0" borderId="11" xfId="0" applyFont="1" applyBorder="1" applyAlignment="1">
      <alignment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vertical="center" wrapText="1"/>
    </xf>
    <xf numFmtId="4" fontId="4" fillId="0" borderId="23" xfId="0" applyNumberFormat="1" applyFont="1" applyBorder="1" applyAlignment="1">
      <alignment vertical="center" wrapText="1"/>
    </xf>
    <xf numFmtId="4" fontId="4" fillId="40" borderId="26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4" fontId="4" fillId="0" borderId="14" xfId="0" applyNumberFormat="1" applyFont="1" applyBorder="1" applyAlignment="1">
      <alignment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4" fontId="4" fillId="0" borderId="36" xfId="0" applyNumberFormat="1" applyFont="1" applyBorder="1" applyAlignment="1">
      <alignment horizontal="center" vertical="center"/>
    </xf>
    <xf numFmtId="4" fontId="4" fillId="0" borderId="37" xfId="0" applyNumberFormat="1" applyFont="1" applyBorder="1" applyAlignment="1">
      <alignment horizontal="center" vertical="center"/>
    </xf>
    <xf numFmtId="4" fontId="4" fillId="0" borderId="38" xfId="0" applyNumberFormat="1" applyFont="1" applyBorder="1" applyAlignment="1">
      <alignment horizontal="center" vertical="center"/>
    </xf>
    <xf numFmtId="4" fontId="4" fillId="0" borderId="39" xfId="0" applyNumberFormat="1" applyFont="1" applyBorder="1" applyAlignment="1">
      <alignment horizontal="center" vertical="center"/>
    </xf>
    <xf numFmtId="4" fontId="4" fillId="0" borderId="40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 horizontal="center" vertical="center"/>
    </xf>
    <xf numFmtId="4" fontId="4" fillId="0" borderId="42" xfId="0" applyNumberFormat="1" applyFont="1" applyBorder="1" applyAlignment="1">
      <alignment horizontal="center" vertical="center"/>
    </xf>
    <xf numFmtId="4" fontId="4" fillId="0" borderId="43" xfId="0" applyNumberFormat="1" applyFont="1" applyBorder="1" applyAlignment="1">
      <alignment horizontal="center" vertical="center"/>
    </xf>
    <xf numFmtId="4" fontId="4" fillId="0" borderId="44" xfId="0" applyNumberFormat="1" applyFont="1" applyBorder="1" applyAlignment="1">
      <alignment horizontal="center" vertical="center"/>
    </xf>
    <xf numFmtId="4" fontId="4" fillId="0" borderId="45" xfId="0" applyNumberFormat="1" applyFont="1" applyBorder="1" applyAlignment="1">
      <alignment horizontal="center" vertical="center"/>
    </xf>
    <xf numFmtId="4" fontId="4" fillId="0" borderId="46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47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48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4" fillId="0" borderId="49" xfId="0" applyNumberFormat="1" applyFont="1" applyBorder="1" applyAlignment="1">
      <alignment horizontal="center" vertical="center"/>
    </xf>
    <xf numFmtId="4" fontId="4" fillId="0" borderId="50" xfId="0" applyNumberFormat="1" applyFont="1" applyBorder="1" applyAlignment="1">
      <alignment horizontal="center" vertical="center"/>
    </xf>
    <xf numFmtId="4" fontId="4" fillId="0" borderId="51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52" xfId="0" applyNumberFormat="1" applyFont="1" applyBorder="1" applyAlignment="1">
      <alignment horizontal="center" vertical="center"/>
    </xf>
    <xf numFmtId="4" fontId="4" fillId="0" borderId="53" xfId="0" applyNumberFormat="1" applyFont="1" applyBorder="1" applyAlignment="1">
      <alignment horizontal="center" vertical="center"/>
    </xf>
    <xf numFmtId="4" fontId="4" fillId="0" borderId="54" xfId="0" applyNumberFormat="1" applyFont="1" applyBorder="1" applyAlignment="1">
      <alignment horizontal="center" vertical="center"/>
    </xf>
    <xf numFmtId="10" fontId="0" fillId="0" borderId="25" xfId="0" applyNumberFormat="1" applyBorder="1" applyAlignment="1">
      <alignment/>
    </xf>
    <xf numFmtId="10" fontId="0" fillId="0" borderId="19" xfId="0" applyNumberFormat="1" applyBorder="1" applyAlignment="1">
      <alignment/>
    </xf>
    <xf numFmtId="4" fontId="4" fillId="33" borderId="15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wrapText="1"/>
    </xf>
    <xf numFmtId="4" fontId="4" fillId="0" borderId="53" xfId="0" applyNumberFormat="1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26" xfId="0" applyFont="1" applyBorder="1" applyAlignment="1">
      <alignment horizontal="right" wrapText="1"/>
    </xf>
    <xf numFmtId="0" fontId="4" fillId="0" borderId="55" xfId="0" applyFont="1" applyBorder="1" applyAlignment="1">
      <alignment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6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58" xfId="0" applyFont="1" applyBorder="1" applyAlignment="1">
      <alignment/>
    </xf>
    <xf numFmtId="4" fontId="4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/>
    </xf>
    <xf numFmtId="177" fontId="4" fillId="0" borderId="30" xfId="0" applyNumberFormat="1" applyFont="1" applyFill="1" applyBorder="1" applyAlignment="1" applyProtection="1">
      <alignment/>
      <protection locked="0"/>
    </xf>
    <xf numFmtId="177" fontId="4" fillId="0" borderId="59" xfId="0" applyNumberFormat="1" applyFont="1" applyFill="1" applyBorder="1" applyAlignment="1" applyProtection="1">
      <alignment/>
      <protection locked="0"/>
    </xf>
    <xf numFmtId="0" fontId="4" fillId="39" borderId="26" xfId="0" applyNumberFormat="1" applyFont="1" applyFill="1" applyBorder="1" applyAlignment="1" applyProtection="1">
      <alignment horizontal="right"/>
      <protection locked="0"/>
    </xf>
    <xf numFmtId="177" fontId="4" fillId="0" borderId="23" xfId="0" applyNumberFormat="1" applyFont="1" applyFill="1" applyBorder="1" applyAlignment="1" applyProtection="1">
      <alignment/>
      <protection locked="0"/>
    </xf>
    <xf numFmtId="0" fontId="4" fillId="0" borderId="14" xfId="0" applyFont="1" applyFill="1" applyBorder="1" applyAlignment="1">
      <alignment horizontal="left"/>
    </xf>
    <xf numFmtId="177" fontId="4" fillId="38" borderId="22" xfId="0" applyNumberFormat="1" applyFont="1" applyFill="1" applyBorder="1" applyAlignment="1" applyProtection="1">
      <alignment/>
      <protection locked="0"/>
    </xf>
    <xf numFmtId="0" fontId="4" fillId="0" borderId="11" xfId="0" applyFont="1" applyFill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0" xfId="0" applyNumberFormat="1" applyFont="1" applyBorder="1" applyAlignment="1">
      <alignment wrapText="1"/>
    </xf>
    <xf numFmtId="4" fontId="13" fillId="0" borderId="0" xfId="0" applyNumberFormat="1" applyFont="1" applyBorder="1" applyAlignment="1">
      <alignment/>
    </xf>
    <xf numFmtId="4" fontId="12" fillId="0" borderId="0" xfId="0" applyNumberFormat="1" applyFont="1" applyAlignment="1">
      <alignment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center" vertical="center" wrapText="1"/>
    </xf>
    <xf numFmtId="4" fontId="4" fillId="33" borderId="52" xfId="0" applyNumberFormat="1" applyFont="1" applyFill="1" applyBorder="1" applyAlignment="1">
      <alignment/>
    </xf>
    <xf numFmtId="4" fontId="4" fillId="33" borderId="52" xfId="0" applyNumberFormat="1" applyFont="1" applyFill="1" applyBorder="1" applyAlignment="1">
      <alignment horizontal="center" vertical="center"/>
    </xf>
    <xf numFmtId="4" fontId="4" fillId="0" borderId="57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wrapText="1"/>
    </xf>
    <xf numFmtId="4" fontId="4" fillId="0" borderId="48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4" fillId="0" borderId="11" xfId="0" applyNumberFormat="1" applyFont="1" applyBorder="1" applyAlignment="1">
      <alignment wrapText="1"/>
    </xf>
    <xf numFmtId="4" fontId="4" fillId="0" borderId="60" xfId="0" applyNumberFormat="1" applyFont="1" applyBorder="1" applyAlignment="1">
      <alignment horizontal="center" vertical="center"/>
    </xf>
    <xf numFmtId="4" fontId="4" fillId="0" borderId="61" xfId="0" applyNumberFormat="1" applyFont="1" applyBorder="1" applyAlignment="1">
      <alignment horizontal="center" vertical="center"/>
    </xf>
    <xf numFmtId="4" fontId="4" fillId="0" borderId="62" xfId="0" applyNumberFormat="1" applyFont="1" applyBorder="1" applyAlignment="1">
      <alignment horizontal="center" vertical="center" wrapText="1"/>
    </xf>
    <xf numFmtId="4" fontId="4" fillId="0" borderId="63" xfId="0" applyNumberFormat="1" applyFont="1" applyBorder="1" applyAlignment="1">
      <alignment horizontal="center" vertical="center" wrapText="1"/>
    </xf>
    <xf numFmtId="4" fontId="4" fillId="0" borderId="64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4" fillId="0" borderId="65" xfId="0" applyNumberFormat="1" applyFont="1" applyBorder="1" applyAlignment="1">
      <alignment/>
    </xf>
    <xf numFmtId="4" fontId="4" fillId="0" borderId="66" xfId="0" applyNumberFormat="1" applyFont="1" applyBorder="1" applyAlignment="1">
      <alignment/>
    </xf>
    <xf numFmtId="4" fontId="4" fillId="0" borderId="66" xfId="0" applyNumberFormat="1" applyFont="1" applyBorder="1" applyAlignment="1">
      <alignment horizontal="center" vertical="center"/>
    </xf>
    <xf numFmtId="4" fontId="4" fillId="0" borderId="67" xfId="0" applyNumberFormat="1" applyFont="1" applyBorder="1" applyAlignment="1">
      <alignment horizontal="center" vertical="center"/>
    </xf>
    <xf numFmtId="4" fontId="4" fillId="0" borderId="68" xfId="0" applyNumberFormat="1" applyFont="1" applyBorder="1" applyAlignment="1">
      <alignment horizontal="center" vertical="center"/>
    </xf>
    <xf numFmtId="4" fontId="4" fillId="0" borderId="66" xfId="0" applyNumberFormat="1" applyFont="1" applyBorder="1" applyAlignment="1">
      <alignment horizontal="center"/>
    </xf>
    <xf numFmtId="4" fontId="4" fillId="34" borderId="13" xfId="0" applyNumberFormat="1" applyFont="1" applyFill="1" applyBorder="1" applyAlignment="1">
      <alignment/>
    </xf>
    <xf numFmtId="4" fontId="4" fillId="34" borderId="14" xfId="0" applyNumberFormat="1" applyFont="1" applyFill="1" applyBorder="1" applyAlignment="1">
      <alignment/>
    </xf>
    <xf numFmtId="4" fontId="4" fillId="0" borderId="69" xfId="0" applyNumberFormat="1" applyFont="1" applyBorder="1" applyAlignment="1">
      <alignment/>
    </xf>
    <xf numFmtId="4" fontId="4" fillId="0" borderId="55" xfId="0" applyNumberFormat="1" applyFont="1" applyBorder="1" applyAlignment="1">
      <alignment wrapText="1"/>
    </xf>
    <xf numFmtId="4" fontId="4" fillId="0" borderId="70" xfId="0" applyNumberFormat="1" applyFont="1" applyBorder="1" applyAlignment="1">
      <alignment wrapText="1"/>
    </xf>
    <xf numFmtId="4" fontId="4" fillId="0" borderId="57" xfId="0" applyNumberFormat="1" applyFont="1" applyBorder="1" applyAlignment="1">
      <alignment/>
    </xf>
    <xf numFmtId="4" fontId="4" fillId="0" borderId="58" xfId="0" applyNumberFormat="1" applyFont="1" applyBorder="1" applyAlignment="1">
      <alignment/>
    </xf>
    <xf numFmtId="4" fontId="4" fillId="0" borderId="54" xfId="0" applyNumberFormat="1" applyFont="1" applyBorder="1" applyAlignment="1">
      <alignment wrapText="1"/>
    </xf>
    <xf numFmtId="4" fontId="4" fillId="0" borderId="18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177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56" xfId="0" applyNumberFormat="1" applyFont="1" applyBorder="1" applyAlignment="1">
      <alignment/>
    </xf>
    <xf numFmtId="4" fontId="4" fillId="0" borderId="49" xfId="0" applyNumberFormat="1" applyFont="1" applyBorder="1" applyAlignment="1">
      <alignment/>
    </xf>
    <xf numFmtId="0" fontId="4" fillId="0" borderId="57" xfId="0" applyNumberFormat="1" applyFont="1" applyFill="1" applyBorder="1" applyAlignment="1" applyProtection="1">
      <alignment/>
      <protection locked="0"/>
    </xf>
    <xf numFmtId="4" fontId="4" fillId="0" borderId="47" xfId="0" applyNumberFormat="1" applyFont="1" applyBorder="1" applyAlignment="1">
      <alignment/>
    </xf>
    <xf numFmtId="4" fontId="4" fillId="34" borderId="47" xfId="0" applyNumberFormat="1" applyFont="1" applyFill="1" applyBorder="1" applyAlignment="1">
      <alignment/>
    </xf>
    <xf numFmtId="4" fontId="4" fillId="0" borderId="50" xfId="0" applyNumberFormat="1" applyFont="1" applyFill="1" applyBorder="1" applyAlignment="1">
      <alignment/>
    </xf>
    <xf numFmtId="4" fontId="4" fillId="0" borderId="45" xfId="0" applyNumberFormat="1" applyFont="1" applyFill="1" applyBorder="1" applyAlignment="1">
      <alignment/>
    </xf>
    <xf numFmtId="4" fontId="4" fillId="0" borderId="71" xfId="0" applyNumberFormat="1" applyFont="1" applyFill="1" applyBorder="1" applyAlignment="1">
      <alignment/>
    </xf>
    <xf numFmtId="4" fontId="4" fillId="0" borderId="51" xfId="0" applyNumberFormat="1" applyFont="1" applyFill="1" applyBorder="1" applyAlignment="1">
      <alignment/>
    </xf>
    <xf numFmtId="4" fontId="4" fillId="33" borderId="57" xfId="0" applyNumberFormat="1" applyFont="1" applyFill="1" applyBorder="1" applyAlignment="1">
      <alignment/>
    </xf>
    <xf numFmtId="4" fontId="4" fillId="0" borderId="53" xfId="0" applyNumberFormat="1" applyFont="1" applyBorder="1" applyAlignment="1">
      <alignment/>
    </xf>
    <xf numFmtId="4" fontId="11" fillId="0" borderId="72" xfId="0" applyNumberFormat="1" applyFont="1" applyFill="1" applyBorder="1" applyAlignment="1" applyProtection="1">
      <alignment horizontal="center"/>
      <protection locked="0"/>
    </xf>
    <xf numFmtId="4" fontId="11" fillId="0" borderId="11" xfId="0" applyNumberFormat="1" applyFont="1" applyFill="1" applyBorder="1" applyAlignment="1" applyProtection="1">
      <alignment/>
      <protection locked="0"/>
    </xf>
    <xf numFmtId="0" fontId="11" fillId="0" borderId="73" xfId="0" applyNumberFormat="1" applyFont="1" applyFill="1" applyBorder="1" applyAlignment="1" applyProtection="1">
      <alignment horizontal="center"/>
      <protection locked="0"/>
    </xf>
    <xf numFmtId="4" fontId="11" fillId="0" borderId="74" xfId="0" applyNumberFormat="1" applyFont="1" applyFill="1" applyBorder="1" applyAlignment="1" applyProtection="1">
      <alignment horizontal="center"/>
      <protection locked="0"/>
    </xf>
    <xf numFmtId="0" fontId="11" fillId="0" borderId="75" xfId="0" applyNumberFormat="1" applyFont="1" applyFill="1" applyBorder="1" applyAlignment="1" applyProtection="1">
      <alignment/>
      <protection locked="0"/>
    </xf>
    <xf numFmtId="4" fontId="11" fillId="0" borderId="76" xfId="0" applyNumberFormat="1" applyFont="1" applyFill="1" applyBorder="1" applyAlignment="1" applyProtection="1">
      <alignment/>
      <protection locked="0"/>
    </xf>
    <xf numFmtId="4" fontId="11" fillId="0" borderId="11" xfId="0" applyNumberFormat="1" applyFont="1" applyFill="1" applyBorder="1" applyAlignment="1" applyProtection="1">
      <alignment horizontal="right"/>
      <protection locked="0"/>
    </xf>
    <xf numFmtId="4" fontId="11" fillId="0" borderId="11" xfId="0" applyNumberFormat="1" applyFont="1" applyFill="1" applyBorder="1" applyAlignment="1" applyProtection="1">
      <alignment horizontal="left"/>
      <protection locked="0"/>
    </xf>
    <xf numFmtId="4" fontId="4" fillId="0" borderId="77" xfId="0" applyNumberFormat="1" applyFont="1" applyBorder="1" applyAlignment="1">
      <alignment horizontal="center" vertical="center" wrapText="1"/>
    </xf>
    <xf numFmtId="4" fontId="4" fillId="0" borderId="78" xfId="0" applyNumberFormat="1" applyFont="1" applyBorder="1" applyAlignment="1">
      <alignment horizontal="center" vertical="center"/>
    </xf>
    <xf numFmtId="4" fontId="4" fillId="0" borderId="79" xfId="0" applyNumberFormat="1" applyFont="1" applyBorder="1" applyAlignment="1">
      <alignment horizontal="center" vertical="center"/>
    </xf>
    <xf numFmtId="4" fontId="4" fillId="0" borderId="80" xfId="0" applyNumberFormat="1" applyFont="1" applyBorder="1" applyAlignment="1">
      <alignment horizontal="center" vertical="center"/>
    </xf>
    <xf numFmtId="4" fontId="4" fillId="0" borderId="69" xfId="0" applyNumberFormat="1" applyFont="1" applyBorder="1" applyAlignment="1">
      <alignment horizontal="center" vertical="center"/>
    </xf>
    <xf numFmtId="4" fontId="4" fillId="0" borderId="58" xfId="0" applyNumberFormat="1" applyFont="1" applyBorder="1" applyAlignment="1">
      <alignment horizontal="center" vertical="center"/>
    </xf>
    <xf numFmtId="4" fontId="4" fillId="0" borderId="81" xfId="0" applyNumberFormat="1" applyFont="1" applyBorder="1" applyAlignment="1">
      <alignment horizontal="center" vertical="center" wrapText="1"/>
    </xf>
    <xf numFmtId="4" fontId="4" fillId="0" borderId="82" xfId="0" applyNumberFormat="1" applyFont="1" applyBorder="1" applyAlignment="1">
      <alignment horizontal="center" vertical="center" wrapText="1"/>
    </xf>
    <xf numFmtId="4" fontId="4" fillId="0" borderId="83" xfId="0" applyNumberFormat="1" applyFont="1" applyBorder="1" applyAlignment="1">
      <alignment horizontal="center" vertical="center"/>
    </xf>
    <xf numFmtId="4" fontId="4" fillId="39" borderId="13" xfId="0" applyNumberFormat="1" applyFont="1" applyFill="1" applyBorder="1" applyAlignment="1" applyProtection="1">
      <alignment/>
      <protection locked="0"/>
    </xf>
    <xf numFmtId="4" fontId="4" fillId="39" borderId="0" xfId="0" applyNumberFormat="1" applyFont="1" applyFill="1" applyBorder="1" applyAlignment="1" applyProtection="1">
      <alignment/>
      <protection locked="0"/>
    </xf>
    <xf numFmtId="4" fontId="4" fillId="39" borderId="17" xfId="0" applyNumberFormat="1" applyFont="1" applyFill="1" applyBorder="1" applyAlignment="1" applyProtection="1">
      <alignment/>
      <protection locked="0"/>
    </xf>
    <xf numFmtId="4" fontId="4" fillId="0" borderId="18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0" fillId="34" borderId="11" xfId="0" applyFill="1" applyBorder="1" applyAlignment="1">
      <alignment/>
    </xf>
    <xf numFmtId="4" fontId="0" fillId="34" borderId="0" xfId="0" applyNumberFormat="1" applyFill="1" applyBorder="1" applyAlignment="1">
      <alignment/>
    </xf>
    <xf numFmtId="4" fontId="0" fillId="34" borderId="0" xfId="0" applyNumberFormat="1" applyFill="1" applyBorder="1" applyAlignment="1">
      <alignment horizontal="center"/>
    </xf>
    <xf numFmtId="0" fontId="0" fillId="34" borderId="0" xfId="0" applyFill="1" applyBorder="1" applyAlignment="1">
      <alignment/>
    </xf>
    <xf numFmtId="4" fontId="4" fillId="0" borderId="23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0" fontId="0" fillId="34" borderId="16" xfId="0" applyFill="1" applyBorder="1" applyAlignment="1">
      <alignment/>
    </xf>
    <xf numFmtId="4" fontId="0" fillId="34" borderId="22" xfId="0" applyNumberFormat="1" applyFill="1" applyBorder="1" applyAlignment="1">
      <alignment/>
    </xf>
    <xf numFmtId="4" fontId="0" fillId="34" borderId="22" xfId="0" applyNumberFormat="1" applyFill="1" applyBorder="1" applyAlignment="1">
      <alignment horizontal="center"/>
    </xf>
    <xf numFmtId="0" fontId="0" fillId="34" borderId="22" xfId="0" applyFill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Alignment="1">
      <alignment/>
    </xf>
    <xf numFmtId="178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center" wrapText="1"/>
    </xf>
    <xf numFmtId="0" fontId="4" fillId="34" borderId="26" xfId="0" applyFont="1" applyFill="1" applyBorder="1" applyAlignment="1">
      <alignment/>
    </xf>
    <xf numFmtId="4" fontId="4" fillId="0" borderId="0" xfId="0" applyNumberFormat="1" applyFont="1" applyBorder="1" applyAlignment="1">
      <alignment vertical="center"/>
    </xf>
    <xf numFmtId="4" fontId="4" fillId="41" borderId="0" xfId="0" applyNumberFormat="1" applyFont="1" applyFill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0" fontId="4" fillId="0" borderId="12" xfId="0" applyFont="1" applyBorder="1" applyAlignment="1">
      <alignment/>
    </xf>
    <xf numFmtId="4" fontId="4" fillId="0" borderId="0" xfId="0" applyNumberFormat="1" applyFont="1" applyAlignment="1">
      <alignment vertical="center"/>
    </xf>
    <xf numFmtId="10" fontId="4" fillId="0" borderId="21" xfId="0" applyNumberFormat="1" applyFont="1" applyBorder="1" applyAlignment="1">
      <alignment horizontal="center" vertical="center"/>
    </xf>
    <xf numFmtId="171" fontId="4" fillId="0" borderId="21" xfId="0" applyNumberFormat="1" applyFont="1" applyBorder="1" applyAlignment="1">
      <alignment horizontal="center" vertical="center"/>
    </xf>
    <xf numFmtId="10" fontId="4" fillId="0" borderId="23" xfId="0" applyNumberFormat="1" applyFont="1" applyBorder="1" applyAlignment="1">
      <alignment horizontal="center" vertical="center"/>
    </xf>
    <xf numFmtId="171" fontId="4" fillId="0" borderId="2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18" xfId="0" applyNumberFormat="1" applyFont="1" applyFill="1" applyBorder="1" applyAlignment="1" applyProtection="1">
      <alignment/>
      <protection locked="0"/>
    </xf>
    <xf numFmtId="4" fontId="4" fillId="0" borderId="19" xfId="0" applyNumberFormat="1" applyFont="1" applyFill="1" applyBorder="1" applyAlignment="1" applyProtection="1">
      <alignment/>
      <protection locked="0"/>
    </xf>
    <xf numFmtId="4" fontId="4" fillId="0" borderId="17" xfId="0" applyNumberFormat="1" applyFont="1" applyFill="1" applyBorder="1" applyAlignment="1" applyProtection="1">
      <alignment/>
      <protection locked="0"/>
    </xf>
    <xf numFmtId="0" fontId="4" fillId="0" borderId="26" xfId="0" applyNumberFormat="1" applyFont="1" applyFill="1" applyBorder="1" applyAlignment="1" applyProtection="1">
      <alignment/>
      <protection locked="0"/>
    </xf>
    <xf numFmtId="4" fontId="4" fillId="0" borderId="26" xfId="0" applyNumberFormat="1" applyFont="1" applyFill="1" applyBorder="1" applyAlignment="1" applyProtection="1">
      <alignment/>
      <protection locked="0"/>
    </xf>
    <xf numFmtId="4" fontId="6" fillId="0" borderId="11" xfId="0" applyNumberFormat="1" applyFont="1" applyFill="1" applyBorder="1" applyAlignment="1" applyProtection="1">
      <alignment/>
      <protection locked="0"/>
    </xf>
    <xf numFmtId="0" fontId="4" fillId="0" borderId="26" xfId="0" applyNumberFormat="1" applyFont="1" applyFill="1" applyBorder="1" applyAlignment="1" applyProtection="1">
      <alignment horizontal="right"/>
      <protection locked="0"/>
    </xf>
    <xf numFmtId="4" fontId="4" fillId="0" borderId="22" xfId="0" applyNumberFormat="1" applyFont="1" applyFill="1" applyBorder="1" applyAlignment="1" applyProtection="1">
      <alignment/>
      <protection locked="0"/>
    </xf>
    <xf numFmtId="4" fontId="4" fillId="0" borderId="23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right"/>
      <protection locked="0"/>
    </xf>
    <xf numFmtId="0" fontId="4" fillId="39" borderId="13" xfId="0" applyNumberFormat="1" applyFont="1" applyFill="1" applyBorder="1" applyAlignment="1" applyProtection="1">
      <alignment/>
      <protection locked="0"/>
    </xf>
    <xf numFmtId="4" fontId="4" fillId="39" borderId="11" xfId="0" applyNumberFormat="1" applyFont="1" applyFill="1" applyBorder="1" applyAlignment="1" applyProtection="1">
      <alignment/>
      <protection locked="0"/>
    </xf>
    <xf numFmtId="4" fontId="4" fillId="39" borderId="21" xfId="0" applyNumberFormat="1" applyFont="1" applyFill="1" applyBorder="1" applyAlignment="1" applyProtection="1">
      <alignment/>
      <protection locked="0"/>
    </xf>
    <xf numFmtId="0" fontId="4" fillId="39" borderId="26" xfId="0" applyNumberFormat="1" applyFont="1" applyFill="1" applyBorder="1" applyAlignment="1" applyProtection="1">
      <alignment/>
      <protection locked="0"/>
    </xf>
    <xf numFmtId="4" fontId="4" fillId="39" borderId="18" xfId="0" applyNumberFormat="1" applyFont="1" applyFill="1" applyBorder="1" applyAlignment="1" applyProtection="1">
      <alignment/>
      <protection locked="0"/>
    </xf>
    <xf numFmtId="4" fontId="4" fillId="39" borderId="19" xfId="0" applyNumberFormat="1" applyFont="1" applyFill="1" applyBorder="1" applyAlignment="1" applyProtection="1">
      <alignment/>
      <protection locked="0"/>
    </xf>
    <xf numFmtId="4" fontId="4" fillId="39" borderId="26" xfId="0" applyNumberFormat="1" applyFont="1" applyFill="1" applyBorder="1" applyAlignment="1" applyProtection="1">
      <alignment/>
      <protection locked="0"/>
    </xf>
    <xf numFmtId="0" fontId="4" fillId="0" borderId="18" xfId="0" applyNumberFormat="1" applyFont="1" applyFill="1" applyBorder="1" applyAlignment="1" applyProtection="1">
      <alignment horizontal="right"/>
      <protection locked="0"/>
    </xf>
    <xf numFmtId="0" fontId="4" fillId="0" borderId="19" xfId="0" applyNumberFormat="1" applyFont="1" applyFill="1" applyBorder="1" applyAlignment="1" applyProtection="1">
      <alignment horizontal="right"/>
      <protection locked="0"/>
    </xf>
    <xf numFmtId="4" fontId="6" fillId="0" borderId="18" xfId="0" applyNumberFormat="1" applyFont="1" applyFill="1" applyBorder="1" applyAlignment="1" applyProtection="1">
      <alignment/>
      <protection locked="0"/>
    </xf>
    <xf numFmtId="0" fontId="4" fillId="39" borderId="22" xfId="0" applyNumberFormat="1" applyFont="1" applyFill="1" applyBorder="1" applyAlignment="1" applyProtection="1">
      <alignment/>
      <protection locked="0"/>
    </xf>
    <xf numFmtId="4" fontId="4" fillId="39" borderId="23" xfId="0" applyNumberFormat="1" applyFont="1" applyFill="1" applyBorder="1" applyAlignment="1" applyProtection="1">
      <alignment/>
      <protection locked="0"/>
    </xf>
    <xf numFmtId="4" fontId="4" fillId="0" borderId="16" xfId="0" applyNumberFormat="1" applyFont="1" applyFill="1" applyBorder="1" applyAlignment="1" applyProtection="1">
      <alignment/>
      <protection locked="0"/>
    </xf>
    <xf numFmtId="0" fontId="4" fillId="39" borderId="16" xfId="0" applyNumberFormat="1" applyFont="1" applyFill="1" applyBorder="1" applyAlignment="1" applyProtection="1">
      <alignment/>
      <protection locked="0"/>
    </xf>
    <xf numFmtId="4" fontId="4" fillId="0" borderId="14" xfId="0" applyNumberFormat="1" applyFont="1" applyFill="1" applyBorder="1" applyAlignment="1" applyProtection="1">
      <alignment/>
      <protection locked="0"/>
    </xf>
    <xf numFmtId="0" fontId="4" fillId="39" borderId="18" xfId="0" applyNumberFormat="1" applyFont="1" applyFill="1" applyBorder="1" applyAlignment="1" applyProtection="1">
      <alignment/>
      <protection locked="0"/>
    </xf>
    <xf numFmtId="0" fontId="4" fillId="39" borderId="17" xfId="0" applyNumberFormat="1" applyFont="1" applyFill="1" applyBorder="1" applyAlignment="1" applyProtection="1">
      <alignment/>
      <protection locked="0"/>
    </xf>
    <xf numFmtId="4" fontId="4" fillId="39" borderId="17" xfId="0" applyNumberFormat="1" applyFont="1" applyFill="1" applyBorder="1" applyAlignment="1">
      <alignment/>
    </xf>
    <xf numFmtId="4" fontId="4" fillId="39" borderId="26" xfId="0" applyNumberFormat="1" applyFont="1" applyFill="1" applyBorder="1" applyAlignment="1">
      <alignment/>
    </xf>
    <xf numFmtId="4" fontId="6" fillId="39" borderId="19" xfId="0" applyNumberFormat="1" applyFont="1" applyFill="1" applyBorder="1" applyAlignment="1" applyProtection="1">
      <alignment/>
      <protection locked="0"/>
    </xf>
    <xf numFmtId="4" fontId="4" fillId="0" borderId="22" xfId="0" applyNumberFormat="1" applyFon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4" fillId="34" borderId="12" xfId="0" applyNumberFormat="1" applyFont="1" applyFill="1" applyBorder="1" applyAlignment="1" applyProtection="1">
      <alignment horizontal="center"/>
      <protection locked="0"/>
    </xf>
    <xf numFmtId="0" fontId="4" fillId="39" borderId="13" xfId="0" applyFont="1" applyFill="1" applyBorder="1" applyAlignment="1">
      <alignment/>
    </xf>
    <xf numFmtId="0" fontId="4" fillId="39" borderId="11" xfId="0" applyFont="1" applyFill="1" applyBorder="1" applyAlignment="1">
      <alignment/>
    </xf>
    <xf numFmtId="4" fontId="4" fillId="39" borderId="13" xfId="0" applyNumberFormat="1" applyFont="1" applyFill="1" applyBorder="1" applyAlignment="1">
      <alignment/>
    </xf>
    <xf numFmtId="0" fontId="4" fillId="39" borderId="16" xfId="0" applyFont="1" applyFill="1" applyBorder="1" applyAlignment="1">
      <alignment/>
    </xf>
    <xf numFmtId="0" fontId="4" fillId="39" borderId="14" xfId="0" applyFont="1" applyFill="1" applyBorder="1" applyAlignment="1">
      <alignment/>
    </xf>
    <xf numFmtId="0" fontId="4" fillId="39" borderId="12" xfId="0" applyFont="1" applyFill="1" applyBorder="1" applyAlignment="1">
      <alignment/>
    </xf>
    <xf numFmtId="0" fontId="4" fillId="39" borderId="10" xfId="0" applyFont="1" applyFill="1" applyBorder="1" applyAlignment="1">
      <alignment horizontal="center"/>
    </xf>
    <xf numFmtId="4" fontId="4" fillId="39" borderId="20" xfId="0" applyNumberFormat="1" applyFont="1" applyFill="1" applyBorder="1" applyAlignment="1">
      <alignment horizontal="center"/>
    </xf>
    <xf numFmtId="4" fontId="4" fillId="39" borderId="21" xfId="0" applyNumberFormat="1" applyFont="1" applyFill="1" applyBorder="1" applyAlignment="1">
      <alignment/>
    </xf>
    <xf numFmtId="4" fontId="4" fillId="39" borderId="23" xfId="0" applyNumberFormat="1" applyFont="1" applyFill="1" applyBorder="1" applyAlignment="1">
      <alignment/>
    </xf>
    <xf numFmtId="4" fontId="0" fillId="0" borderId="0" xfId="0" applyNumberFormat="1" applyBorder="1" applyAlignment="1" quotePrefix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22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Alignment="1">
      <alignment/>
    </xf>
    <xf numFmtId="4" fontId="11" fillId="0" borderId="11" xfId="0" applyNumberFormat="1" applyFont="1" applyBorder="1" applyAlignment="1">
      <alignment horizontal="center"/>
    </xf>
    <xf numFmtId="4" fontId="11" fillId="0" borderId="21" xfId="0" applyNumberFormat="1" applyFont="1" applyBorder="1" applyAlignment="1">
      <alignment/>
    </xf>
    <xf numFmtId="4" fontId="11" fillId="0" borderId="11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0" fontId="4" fillId="0" borderId="84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85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22" xfId="0" applyFont="1" applyBorder="1" applyAlignment="1">
      <alignment wrapText="1"/>
    </xf>
    <xf numFmtId="4" fontId="11" fillId="0" borderId="10" xfId="0" applyNumberFormat="1" applyFont="1" applyBorder="1" applyAlignment="1">
      <alignment/>
    </xf>
    <xf numFmtId="4" fontId="11" fillId="0" borderId="20" xfId="0" applyNumberFormat="1" applyFont="1" applyBorder="1" applyAlignment="1">
      <alignment/>
    </xf>
    <xf numFmtId="4" fontId="11" fillId="0" borderId="23" xfId="0" applyNumberFormat="1" applyFont="1" applyBorder="1" applyAlignment="1">
      <alignment/>
    </xf>
    <xf numFmtId="4" fontId="11" fillId="0" borderId="22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4" fontId="11" fillId="0" borderId="86" xfId="0" applyNumberFormat="1" applyFont="1" applyBorder="1" applyAlignment="1">
      <alignment/>
    </xf>
    <xf numFmtId="4" fontId="11" fillId="0" borderId="85" xfId="0" applyNumberFormat="1" applyFont="1" applyBorder="1" applyAlignment="1">
      <alignment/>
    </xf>
    <xf numFmtId="4" fontId="11" fillId="0" borderId="10" xfId="0" applyNumberFormat="1" applyFont="1" applyBorder="1" applyAlignment="1">
      <alignment horizontal="right"/>
    </xf>
    <xf numFmtId="4" fontId="11" fillId="0" borderId="11" xfId="0" applyNumberFormat="1" applyFont="1" applyBorder="1" applyAlignment="1">
      <alignment horizontal="right"/>
    </xf>
    <xf numFmtId="4" fontId="11" fillId="0" borderId="0" xfId="0" applyNumberFormat="1" applyFont="1" applyAlignment="1">
      <alignment horizontal="right"/>
    </xf>
    <xf numFmtId="4" fontId="11" fillId="0" borderId="20" xfId="0" applyNumberFormat="1" applyFont="1" applyBorder="1" applyAlignment="1">
      <alignment horizontal="right"/>
    </xf>
    <xf numFmtId="4" fontId="11" fillId="0" borderId="21" xfId="0" applyNumberFormat="1" applyFont="1" applyBorder="1" applyAlignment="1">
      <alignment horizontal="right"/>
    </xf>
    <xf numFmtId="4" fontId="14" fillId="0" borderId="21" xfId="0" applyNumberFormat="1" applyFont="1" applyBorder="1" applyAlignment="1">
      <alignment horizontal="right"/>
    </xf>
    <xf numFmtId="4" fontId="14" fillId="34" borderId="18" xfId="0" applyNumberFormat="1" applyFont="1" applyFill="1" applyBorder="1" applyAlignment="1">
      <alignment horizontal="right"/>
    </xf>
    <xf numFmtId="4" fontId="14" fillId="34" borderId="17" xfId="0" applyNumberFormat="1" applyFont="1" applyFill="1" applyBorder="1" applyAlignment="1">
      <alignment horizontal="right"/>
    </xf>
    <xf numFmtId="4" fontId="14" fillId="34" borderId="18" xfId="0" applyNumberFormat="1" applyFont="1" applyFill="1" applyBorder="1" applyAlignment="1">
      <alignment/>
    </xf>
    <xf numFmtId="4" fontId="14" fillId="34" borderId="17" xfId="0" applyNumberFormat="1" applyFont="1" applyFill="1" applyBorder="1" applyAlignment="1">
      <alignment/>
    </xf>
    <xf numFmtId="4" fontId="14" fillId="34" borderId="19" xfId="0" applyNumberFormat="1" applyFont="1" applyFill="1" applyBorder="1" applyAlignment="1">
      <alignment/>
    </xf>
    <xf numFmtId="4" fontId="11" fillId="0" borderId="84" xfId="0" applyNumberFormat="1" applyFont="1" applyBorder="1" applyAlignment="1">
      <alignment/>
    </xf>
    <xf numFmtId="4" fontId="11" fillId="0" borderId="31" xfId="0" applyNumberFormat="1" applyFont="1" applyBorder="1" applyAlignment="1">
      <alignment/>
    </xf>
    <xf numFmtId="4" fontId="11" fillId="0" borderId="87" xfId="0" applyNumberFormat="1" applyFont="1" applyBorder="1" applyAlignment="1">
      <alignment/>
    </xf>
    <xf numFmtId="4" fontId="11" fillId="0" borderId="88" xfId="0" applyNumberFormat="1" applyFont="1" applyBorder="1" applyAlignment="1">
      <alignment/>
    </xf>
    <xf numFmtId="4" fontId="11" fillId="0" borderId="0" xfId="0" applyNumberFormat="1" applyFont="1" applyBorder="1" applyAlignment="1">
      <alignment horizontal="right"/>
    </xf>
    <xf numFmtId="177" fontId="4" fillId="39" borderId="21" xfId="0" applyNumberFormat="1" applyFont="1" applyFill="1" applyBorder="1" applyAlignment="1" applyProtection="1">
      <alignment/>
      <protection locked="0"/>
    </xf>
    <xf numFmtId="4" fontId="11" fillId="0" borderId="47" xfId="0" applyNumberFormat="1" applyFont="1" applyBorder="1" applyAlignment="1">
      <alignment/>
    </xf>
    <xf numFmtId="4" fontId="14" fillId="34" borderId="49" xfId="0" applyNumberFormat="1" applyFont="1" applyFill="1" applyBorder="1" applyAlignment="1">
      <alignment horizontal="right"/>
    </xf>
    <xf numFmtId="4" fontId="11" fillId="0" borderId="52" xfId="0" applyNumberFormat="1" applyFont="1" applyBorder="1" applyAlignment="1">
      <alignment/>
    </xf>
    <xf numFmtId="4" fontId="14" fillId="34" borderId="49" xfId="0" applyNumberFormat="1" applyFont="1" applyFill="1" applyBorder="1" applyAlignment="1">
      <alignment/>
    </xf>
    <xf numFmtId="4" fontId="14" fillId="34" borderId="19" xfId="0" applyNumberFormat="1" applyFont="1" applyFill="1" applyBorder="1" applyAlignment="1">
      <alignment horizontal="right"/>
    </xf>
    <xf numFmtId="4" fontId="11" fillId="0" borderId="89" xfId="0" applyNumberFormat="1" applyFont="1" applyBorder="1" applyAlignment="1">
      <alignment horizontal="center" wrapText="1"/>
    </xf>
    <xf numFmtId="4" fontId="11" fillId="0" borderId="9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22" xfId="0" applyFill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23" xfId="0" applyBorder="1" applyAlignment="1">
      <alignment horizontal="center"/>
    </xf>
    <xf numFmtId="4" fontId="11" fillId="0" borderId="0" xfId="0" applyNumberFormat="1" applyFont="1" applyAlignment="1">
      <alignment/>
    </xf>
    <xf numFmtId="4" fontId="11" fillId="0" borderId="3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4" fontId="11" fillId="0" borderId="77" xfId="0" applyNumberFormat="1" applyFont="1" applyBorder="1" applyAlignment="1">
      <alignment horizontal="center" wrapText="1"/>
    </xf>
    <xf numFmtId="4" fontId="11" fillId="0" borderId="55" xfId="0" applyNumberFormat="1" applyFont="1" applyBorder="1" applyAlignment="1">
      <alignment horizontal="center" wrapText="1"/>
    </xf>
    <xf numFmtId="4" fontId="11" fillId="0" borderId="70" xfId="0" applyNumberFormat="1" applyFont="1" applyBorder="1" applyAlignment="1">
      <alignment horizontal="center" wrapText="1"/>
    </xf>
    <xf numFmtId="4" fontId="11" fillId="0" borderId="0" xfId="0" applyNumberFormat="1" applyFont="1" applyBorder="1" applyAlignment="1">
      <alignment horizontal="center" wrapText="1"/>
    </xf>
    <xf numFmtId="4" fontId="11" fillId="0" borderId="0" xfId="0" applyNumberFormat="1" applyFont="1" applyAlignment="1">
      <alignment wrapText="1"/>
    </xf>
    <xf numFmtId="4" fontId="11" fillId="0" borderId="11" xfId="0" applyNumberFormat="1" applyFont="1" applyBorder="1" applyAlignment="1">
      <alignment horizontal="left"/>
    </xf>
    <xf numFmtId="4" fontId="11" fillId="0" borderId="40" xfId="0" applyNumberFormat="1" applyFont="1" applyBorder="1" applyAlignment="1">
      <alignment/>
    </xf>
    <xf numFmtId="4" fontId="11" fillId="0" borderId="57" xfId="0" applyNumberFormat="1" applyFont="1" applyBorder="1" applyAlignment="1">
      <alignment/>
    </xf>
    <xf numFmtId="4" fontId="11" fillId="0" borderId="38" xfId="0" applyNumberFormat="1" applyFont="1" applyBorder="1" applyAlignment="1">
      <alignment/>
    </xf>
    <xf numFmtId="4" fontId="11" fillId="0" borderId="40" xfId="0" applyNumberFormat="1" applyFont="1" applyBorder="1" applyAlignment="1">
      <alignment horizontal="center"/>
    </xf>
    <xf numFmtId="4" fontId="14" fillId="34" borderId="91" xfId="0" applyNumberFormat="1" applyFont="1" applyFill="1" applyBorder="1" applyAlignment="1">
      <alignment horizontal="center"/>
    </xf>
    <xf numFmtId="4" fontId="14" fillId="34" borderId="91" xfId="0" applyNumberFormat="1" applyFont="1" applyFill="1" applyBorder="1" applyAlignment="1">
      <alignment/>
    </xf>
    <xf numFmtId="4" fontId="11" fillId="0" borderId="56" xfId="0" applyNumberFormat="1" applyFont="1" applyBorder="1" applyAlignment="1">
      <alignment/>
    </xf>
    <xf numFmtId="4" fontId="14" fillId="0" borderId="47" xfId="0" applyNumberFormat="1" applyFont="1" applyBorder="1" applyAlignment="1">
      <alignment/>
    </xf>
    <xf numFmtId="4" fontId="14" fillId="0" borderId="11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4" fontId="14" fillId="0" borderId="21" xfId="0" applyNumberFormat="1" applyFont="1" applyBorder="1" applyAlignment="1">
      <alignment/>
    </xf>
    <xf numFmtId="4" fontId="11" fillId="0" borderId="16" xfId="0" applyNumberFormat="1" applyFont="1" applyBorder="1" applyAlignment="1">
      <alignment/>
    </xf>
    <xf numFmtId="4" fontId="14" fillId="39" borderId="44" xfId="0" applyNumberFormat="1" applyFont="1" applyFill="1" applyBorder="1" applyAlignment="1">
      <alignment horizontal="center"/>
    </xf>
    <xf numFmtId="4" fontId="14" fillId="39" borderId="92" xfId="0" applyNumberFormat="1" applyFont="1" applyFill="1" applyBorder="1" applyAlignment="1">
      <alignment horizontal="right"/>
    </xf>
    <xf numFmtId="4" fontId="14" fillId="39" borderId="71" xfId="0" applyNumberFormat="1" applyFont="1" applyFill="1" applyBorder="1" applyAlignment="1">
      <alignment horizontal="right"/>
    </xf>
    <xf numFmtId="4" fontId="14" fillId="39" borderId="92" xfId="0" applyNumberFormat="1" applyFont="1" applyFill="1" applyBorder="1" applyAlignment="1">
      <alignment/>
    </xf>
    <xf numFmtId="4" fontId="14" fillId="39" borderId="50" xfId="0" applyNumberFormat="1" applyFont="1" applyFill="1" applyBorder="1" applyAlignment="1">
      <alignment/>
    </xf>
    <xf numFmtId="4" fontId="14" fillId="39" borderId="51" xfId="0" applyNumberFormat="1" applyFont="1" applyFill="1" applyBorder="1" applyAlignment="1">
      <alignment/>
    </xf>
    <xf numFmtId="4" fontId="14" fillId="39" borderId="93" xfId="0" applyNumberFormat="1" applyFont="1" applyFill="1" applyBorder="1" applyAlignment="1">
      <alignment horizontal="center"/>
    </xf>
    <xf numFmtId="4" fontId="14" fillId="39" borderId="71" xfId="0" applyNumberFormat="1" applyFont="1" applyFill="1" applyBorder="1" applyAlignment="1">
      <alignment/>
    </xf>
    <xf numFmtId="4" fontId="14" fillId="0" borderId="0" xfId="0" applyNumberFormat="1" applyFont="1" applyAlignment="1">
      <alignment/>
    </xf>
    <xf numFmtId="4" fontId="14" fillId="41" borderId="94" xfId="0" applyNumberFormat="1" applyFont="1" applyFill="1" applyBorder="1" applyAlignment="1">
      <alignment horizontal="center"/>
    </xf>
    <xf numFmtId="4" fontId="14" fillId="41" borderId="18" xfId="0" applyNumberFormat="1" applyFont="1" applyFill="1" applyBorder="1" applyAlignment="1">
      <alignment horizontal="right"/>
    </xf>
    <xf numFmtId="4" fontId="14" fillId="41" borderId="17" xfId="0" applyNumberFormat="1" applyFont="1" applyFill="1" applyBorder="1" applyAlignment="1">
      <alignment horizontal="right"/>
    </xf>
    <xf numFmtId="4" fontId="14" fillId="41" borderId="18" xfId="0" applyNumberFormat="1" applyFont="1" applyFill="1" applyBorder="1" applyAlignment="1">
      <alignment/>
    </xf>
    <xf numFmtId="4" fontId="14" fillId="41" borderId="19" xfId="0" applyNumberFormat="1" applyFont="1" applyFill="1" applyBorder="1" applyAlignment="1">
      <alignment/>
    </xf>
    <xf numFmtId="4" fontId="14" fillId="41" borderId="49" xfId="0" applyNumberFormat="1" applyFont="1" applyFill="1" applyBorder="1" applyAlignment="1">
      <alignment/>
    </xf>
    <xf numFmtId="4" fontId="14" fillId="41" borderId="17" xfId="0" applyNumberFormat="1" applyFont="1" applyFill="1" applyBorder="1" applyAlignment="1">
      <alignment/>
    </xf>
    <xf numFmtId="4" fontId="14" fillId="41" borderId="94" xfId="0" applyNumberFormat="1" applyFont="1" applyFill="1" applyBorder="1" applyAlignment="1">
      <alignment/>
    </xf>
    <xf numFmtId="4" fontId="14" fillId="41" borderId="91" xfId="0" applyNumberFormat="1" applyFont="1" applyFill="1" applyBorder="1" applyAlignment="1">
      <alignment horizontal="center"/>
    </xf>
    <xf numFmtId="4" fontId="14" fillId="41" borderId="95" xfId="0" applyNumberFormat="1" applyFont="1" applyFill="1" applyBorder="1" applyAlignment="1">
      <alignment/>
    </xf>
    <xf numFmtId="4" fontId="14" fillId="41" borderId="27" xfId="0" applyNumberFormat="1" applyFont="1" applyFill="1" applyBorder="1" applyAlignment="1">
      <alignment/>
    </xf>
    <xf numFmtId="4" fontId="14" fillId="41" borderId="85" xfId="0" applyNumberFormat="1" applyFont="1" applyFill="1" applyBorder="1" applyAlignment="1">
      <alignment/>
    </xf>
    <xf numFmtId="4" fontId="14" fillId="41" borderId="91" xfId="0" applyNumberFormat="1" applyFont="1" applyFill="1" applyBorder="1" applyAlignment="1">
      <alignment/>
    </xf>
    <xf numFmtId="4" fontId="14" fillId="41" borderId="0" xfId="0" applyNumberFormat="1" applyFont="1" applyFill="1" applyBorder="1" applyAlignment="1">
      <alignment/>
    </xf>
    <xf numFmtId="4" fontId="14" fillId="41" borderId="21" xfId="0" applyNumberFormat="1" applyFont="1" applyFill="1" applyBorder="1" applyAlignment="1">
      <alignment/>
    </xf>
    <xf numFmtId="0" fontId="4" fillId="0" borderId="11" xfId="0" applyFont="1" applyBorder="1" applyAlignment="1">
      <alignment horizontal="left" wrapText="1"/>
    </xf>
    <xf numFmtId="4" fontId="11" fillId="0" borderId="20" xfId="0" applyNumberFormat="1" applyFont="1" applyBorder="1" applyAlignment="1">
      <alignment horizontal="center"/>
    </xf>
    <xf numFmtId="4" fontId="11" fillId="0" borderId="15" xfId="0" applyNumberFormat="1" applyFont="1" applyBorder="1" applyAlignment="1">
      <alignment horizontal="center"/>
    </xf>
    <xf numFmtId="4" fontId="14" fillId="0" borderId="57" xfId="0" applyNumberFormat="1" applyFont="1" applyBorder="1" applyAlignment="1">
      <alignment/>
    </xf>
    <xf numFmtId="4" fontId="11" fillId="39" borderId="55" xfId="0" applyNumberFormat="1" applyFont="1" applyFill="1" applyBorder="1" applyAlignment="1">
      <alignment horizontal="center"/>
    </xf>
    <xf numFmtId="4" fontId="11" fillId="39" borderId="70" xfId="0" applyNumberFormat="1" applyFont="1" applyFill="1" applyBorder="1" applyAlignment="1">
      <alignment horizontal="center"/>
    </xf>
    <xf numFmtId="4" fontId="11" fillId="40" borderId="62" xfId="0" applyNumberFormat="1" applyFont="1" applyFill="1" applyBorder="1" applyAlignment="1">
      <alignment horizontal="center"/>
    </xf>
    <xf numFmtId="4" fontId="11" fillId="40" borderId="63" xfId="0" applyNumberFormat="1" applyFont="1" applyFill="1" applyBorder="1" applyAlignment="1">
      <alignment horizontal="center"/>
    </xf>
    <xf numFmtId="4" fontId="11" fillId="0" borderId="56" xfId="0" applyNumberFormat="1" applyFont="1" applyBorder="1" applyAlignment="1">
      <alignment horizontal="center"/>
    </xf>
    <xf numFmtId="4" fontId="11" fillId="0" borderId="69" xfId="0" applyNumberFormat="1" applyFont="1" applyBorder="1" applyAlignment="1">
      <alignment horizontal="center" wrapText="1"/>
    </xf>
    <xf numFmtId="4" fontId="11" fillId="0" borderId="96" xfId="0" applyNumberFormat="1" applyFont="1" applyBorder="1" applyAlignment="1">
      <alignment horizontal="center" wrapText="1"/>
    </xf>
    <xf numFmtId="4" fontId="11" fillId="0" borderId="97" xfId="0" applyNumberFormat="1" applyFont="1" applyBorder="1" applyAlignment="1">
      <alignment horizontal="center" wrapText="1"/>
    </xf>
    <xf numFmtId="4" fontId="11" fillId="0" borderId="63" xfId="0" applyNumberFormat="1" applyFont="1" applyBorder="1" applyAlignment="1">
      <alignment horizontal="center" wrapText="1"/>
    </xf>
    <xf numFmtId="4" fontId="11" fillId="33" borderId="10" xfId="0" applyNumberFormat="1" applyFont="1" applyFill="1" applyBorder="1" applyAlignment="1">
      <alignment horizontal="center"/>
    </xf>
    <xf numFmtId="4" fontId="11" fillId="33" borderId="20" xfId="0" applyNumberFormat="1" applyFont="1" applyFill="1" applyBorder="1" applyAlignment="1">
      <alignment horizontal="center"/>
    </xf>
    <xf numFmtId="4" fontId="11" fillId="33" borderId="52" xfId="0" applyNumberFormat="1" applyFont="1" applyFill="1" applyBorder="1" applyAlignment="1">
      <alignment horizontal="center"/>
    </xf>
    <xf numFmtId="4" fontId="11" fillId="0" borderId="57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11" fillId="0" borderId="47" xfId="0" applyNumberFormat="1" applyFont="1" applyFill="1" applyBorder="1" applyAlignment="1">
      <alignment/>
    </xf>
    <xf numFmtId="4" fontId="11" fillId="0" borderId="98" xfId="0" applyNumberFormat="1" applyFont="1" applyFill="1" applyBorder="1" applyAlignment="1" quotePrefix="1">
      <alignment/>
    </xf>
    <xf numFmtId="4" fontId="14" fillId="0" borderId="57" xfId="0" applyNumberFormat="1" applyFont="1" applyFill="1" applyBorder="1" applyAlignment="1">
      <alignment/>
    </xf>
    <xf numFmtId="4" fontId="11" fillId="0" borderId="40" xfId="0" applyNumberFormat="1" applyFont="1" applyBorder="1" applyAlignment="1">
      <alignment/>
    </xf>
    <xf numFmtId="4" fontId="14" fillId="0" borderId="0" xfId="0" applyNumberFormat="1" applyFont="1" applyFill="1" applyBorder="1" applyAlignment="1">
      <alignment/>
    </xf>
    <xf numFmtId="4" fontId="14" fillId="0" borderId="47" xfId="0" applyNumberFormat="1" applyFont="1" applyFill="1" applyBorder="1" applyAlignment="1">
      <alignment/>
    </xf>
    <xf numFmtId="4" fontId="14" fillId="41" borderId="38" xfId="0" applyNumberFormat="1" applyFont="1" applyFill="1" applyBorder="1" applyAlignment="1">
      <alignment/>
    </xf>
    <xf numFmtId="4" fontId="11" fillId="0" borderId="57" xfId="0" applyNumberFormat="1" applyFont="1" applyBorder="1" applyAlignment="1">
      <alignment/>
    </xf>
    <xf numFmtId="4" fontId="14" fillId="41" borderId="94" xfId="0" applyNumberFormat="1" applyFont="1" applyFill="1" applyBorder="1" applyAlignment="1">
      <alignment/>
    </xf>
    <xf numFmtId="4" fontId="11" fillId="0" borderId="58" xfId="0" applyNumberFormat="1" applyFont="1" applyFill="1" applyBorder="1" applyAlignment="1">
      <alignment/>
    </xf>
    <xf numFmtId="4" fontId="11" fillId="0" borderId="54" xfId="0" applyNumberFormat="1" applyFont="1" applyFill="1" applyBorder="1" applyAlignment="1">
      <alignment/>
    </xf>
    <xf numFmtId="4" fontId="11" fillId="0" borderId="99" xfId="0" applyNumberFormat="1" applyFont="1" applyFill="1" applyBorder="1" applyAlignment="1">
      <alignment/>
    </xf>
    <xf numFmtId="4" fontId="11" fillId="0" borderId="100" xfId="0" applyNumberFormat="1" applyFont="1" applyFill="1" applyBorder="1" applyAlignment="1">
      <alignment/>
    </xf>
    <xf numFmtId="4" fontId="11" fillId="0" borderId="101" xfId="0" applyNumberFormat="1" applyFont="1" applyFill="1" applyBorder="1" applyAlignment="1">
      <alignment/>
    </xf>
    <xf numFmtId="4" fontId="11" fillId="0" borderId="102" xfId="0" applyNumberFormat="1" applyFont="1" applyFill="1" applyBorder="1" applyAlignment="1">
      <alignment/>
    </xf>
    <xf numFmtId="4" fontId="11" fillId="0" borderId="75" xfId="0" applyNumberFormat="1" applyFont="1" applyFill="1" applyBorder="1" applyAlignment="1">
      <alignment/>
    </xf>
    <xf numFmtId="4" fontId="11" fillId="0" borderId="74" xfId="0" applyNumberFormat="1" applyFont="1" applyFill="1" applyBorder="1" applyAlignment="1">
      <alignment/>
    </xf>
    <xf numFmtId="4" fontId="11" fillId="0" borderId="76" xfId="0" applyNumberFormat="1" applyFont="1" applyFill="1" applyBorder="1" applyAlignment="1">
      <alignment/>
    </xf>
    <xf numFmtId="4" fontId="11" fillId="0" borderId="103" xfId="0" applyNumberFormat="1" applyFont="1" applyFill="1" applyBorder="1" applyAlignment="1">
      <alignment/>
    </xf>
    <xf numFmtId="4" fontId="11" fillId="0" borderId="104" xfId="0" applyNumberFormat="1" applyFont="1" applyFill="1" applyBorder="1" applyAlignment="1">
      <alignment/>
    </xf>
    <xf numFmtId="4" fontId="11" fillId="0" borderId="73" xfId="0" applyNumberFormat="1" applyFont="1" applyFill="1" applyBorder="1" applyAlignment="1">
      <alignment/>
    </xf>
    <xf numFmtId="4" fontId="14" fillId="0" borderId="75" xfId="0" applyNumberFormat="1" applyFont="1" applyFill="1" applyBorder="1" applyAlignment="1">
      <alignment/>
    </xf>
    <xf numFmtId="4" fontId="14" fillId="0" borderId="76" xfId="0" applyNumberFormat="1" applyFont="1" applyFill="1" applyBorder="1" applyAlignment="1">
      <alignment/>
    </xf>
    <xf numFmtId="4" fontId="11" fillId="0" borderId="75" xfId="0" applyNumberFormat="1" applyFont="1" applyBorder="1" applyAlignment="1">
      <alignment/>
    </xf>
    <xf numFmtId="4" fontId="11" fillId="0" borderId="76" xfId="0" applyNumberFormat="1" applyFont="1" applyBorder="1" applyAlignment="1">
      <alignment/>
    </xf>
    <xf numFmtId="4" fontId="11" fillId="0" borderId="73" xfId="0" applyNumberFormat="1" applyFont="1" applyBorder="1" applyAlignment="1">
      <alignment/>
    </xf>
    <xf numFmtId="4" fontId="11" fillId="0" borderId="74" xfId="0" applyNumberFormat="1" applyFont="1" applyBorder="1" applyAlignment="1">
      <alignment/>
    </xf>
    <xf numFmtId="4" fontId="11" fillId="0" borderId="99" xfId="0" applyNumberFormat="1" applyFont="1" applyBorder="1" applyAlignment="1">
      <alignment/>
    </xf>
    <xf numFmtId="4" fontId="11" fillId="0" borderId="100" xfId="0" applyNumberFormat="1" applyFont="1" applyBorder="1" applyAlignment="1">
      <alignment/>
    </xf>
    <xf numFmtId="4" fontId="11" fillId="0" borderId="101" xfId="0" applyNumberFormat="1" applyFont="1" applyBorder="1" applyAlignment="1">
      <alignment/>
    </xf>
    <xf numFmtId="4" fontId="11" fillId="0" borderId="102" xfId="0" applyNumberFormat="1" applyFont="1" applyBorder="1" applyAlignment="1">
      <alignment/>
    </xf>
    <xf numFmtId="4" fontId="11" fillId="0" borderId="0" xfId="0" applyNumberFormat="1" applyFont="1" applyBorder="1" applyAlignment="1">
      <alignment horizontal="left"/>
    </xf>
    <xf numFmtId="10" fontId="0" fillId="0" borderId="15" xfId="0" applyNumberFormat="1" applyBorder="1" applyAlignment="1">
      <alignment/>
    </xf>
    <xf numFmtId="10" fontId="0" fillId="0" borderId="22" xfId="0" applyNumberFormat="1" applyBorder="1" applyAlignment="1">
      <alignment/>
    </xf>
    <xf numFmtId="4" fontId="11" fillId="0" borderId="18" xfId="0" applyNumberFormat="1" applyFont="1" applyBorder="1" applyAlignment="1">
      <alignment horizontal="center" wrapText="1"/>
    </xf>
    <xf numFmtId="4" fontId="11" fillId="0" borderId="17" xfId="0" applyNumberFormat="1" applyFont="1" applyBorder="1" applyAlignment="1">
      <alignment horizontal="center" wrapText="1"/>
    </xf>
    <xf numFmtId="4" fontId="11" fillId="0" borderId="16" xfId="0" applyNumberFormat="1" applyFont="1" applyBorder="1" applyAlignment="1">
      <alignment wrapText="1"/>
    </xf>
    <xf numFmtId="4" fontId="11" fillId="0" borderId="23" xfId="0" applyNumberFormat="1" applyFont="1" applyBorder="1" applyAlignment="1">
      <alignment wrapText="1"/>
    </xf>
    <xf numFmtId="179" fontId="4" fillId="0" borderId="0" xfId="0" applyNumberFormat="1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left" vertical="center"/>
    </xf>
    <xf numFmtId="4" fontId="14" fillId="39" borderId="11" xfId="0" applyNumberFormat="1" applyFont="1" applyFill="1" applyBorder="1" applyAlignment="1">
      <alignment/>
    </xf>
    <xf numFmtId="4" fontId="14" fillId="39" borderId="0" xfId="0" applyNumberFormat="1" applyFont="1" applyFill="1" applyBorder="1" applyAlignment="1">
      <alignment/>
    </xf>
    <xf numFmtId="4" fontId="14" fillId="39" borderId="21" xfId="0" applyNumberFormat="1" applyFont="1" applyFill="1" applyBorder="1" applyAlignment="1">
      <alignment/>
    </xf>
    <xf numFmtId="10" fontId="4" fillId="0" borderId="13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39" borderId="0" xfId="0" applyFont="1" applyFill="1" applyBorder="1" applyAlignment="1">
      <alignment/>
    </xf>
    <xf numFmtId="0" fontId="4" fillId="39" borderId="21" xfId="0" applyFont="1" applyFill="1" applyBorder="1" applyAlignment="1">
      <alignment/>
    </xf>
    <xf numFmtId="0" fontId="4" fillId="39" borderId="11" xfId="0" applyNumberFormat="1" applyFont="1" applyFill="1" applyBorder="1" applyAlignment="1">
      <alignment/>
    </xf>
    <xf numFmtId="0" fontId="4" fillId="39" borderId="0" xfId="0" applyNumberFormat="1" applyFont="1" applyFill="1" applyBorder="1" applyAlignment="1">
      <alignment/>
    </xf>
    <xf numFmtId="2" fontId="4" fillId="39" borderId="21" xfId="0" applyNumberFormat="1" applyFont="1" applyFill="1" applyBorder="1" applyAlignment="1">
      <alignment/>
    </xf>
    <xf numFmtId="0" fontId="4" fillId="39" borderId="22" xfId="0" applyFont="1" applyFill="1" applyBorder="1" applyAlignment="1">
      <alignment/>
    </xf>
    <xf numFmtId="0" fontId="4" fillId="39" borderId="23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4" fontId="11" fillId="0" borderId="53" xfId="0" applyNumberFormat="1" applyFont="1" applyFill="1" applyBorder="1" applyAlignment="1">
      <alignment/>
    </xf>
    <xf numFmtId="4" fontId="11" fillId="0" borderId="69" xfId="0" applyNumberFormat="1" applyFont="1" applyBorder="1" applyAlignment="1">
      <alignment/>
    </xf>
    <xf numFmtId="4" fontId="11" fillId="0" borderId="55" xfId="0" applyNumberFormat="1" applyFont="1" applyBorder="1" applyAlignment="1">
      <alignment/>
    </xf>
    <xf numFmtId="4" fontId="11" fillId="0" borderId="70" xfId="0" applyNumberFormat="1" applyFont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11" fillId="0" borderId="15" xfId="0" applyNumberFormat="1" applyFont="1" applyFill="1" applyBorder="1" applyAlignment="1">
      <alignment/>
    </xf>
    <xf numFmtId="4" fontId="11" fillId="0" borderId="20" xfId="0" applyNumberFormat="1" applyFont="1" applyFill="1" applyBorder="1" applyAlignment="1">
      <alignment/>
    </xf>
    <xf numFmtId="4" fontId="11" fillId="0" borderId="22" xfId="0" applyNumberFormat="1" applyFont="1" applyFill="1" applyBorder="1" applyAlignment="1">
      <alignment/>
    </xf>
    <xf numFmtId="4" fontId="11" fillId="0" borderId="23" xfId="0" applyNumberFormat="1" applyFont="1" applyFill="1" applyBorder="1" applyAlignment="1">
      <alignment/>
    </xf>
    <xf numFmtId="4" fontId="11" fillId="0" borderId="11" xfId="0" applyNumberFormat="1" applyFont="1" applyFill="1" applyBorder="1" applyAlignment="1">
      <alignment/>
    </xf>
    <xf numFmtId="4" fontId="11" fillId="0" borderId="21" xfId="0" applyNumberFormat="1" applyFont="1" applyFill="1" applyBorder="1" applyAlignment="1">
      <alignment/>
    </xf>
    <xf numFmtId="4" fontId="11" fillId="0" borderId="69" xfId="0" applyNumberFormat="1" applyFont="1" applyFill="1" applyBorder="1" applyAlignment="1">
      <alignment/>
    </xf>
    <xf numFmtId="4" fontId="11" fillId="0" borderId="55" xfId="0" applyNumberFormat="1" applyFont="1" applyFill="1" applyBorder="1" applyAlignment="1">
      <alignment/>
    </xf>
    <xf numFmtId="4" fontId="11" fillId="0" borderId="70" xfId="0" applyNumberFormat="1" applyFont="1" applyFill="1" applyBorder="1" applyAlignment="1">
      <alignment/>
    </xf>
    <xf numFmtId="4" fontId="11" fillId="0" borderId="105" xfId="0" applyNumberFormat="1" applyFont="1" applyFill="1" applyBorder="1" applyAlignment="1">
      <alignment/>
    </xf>
    <xf numFmtId="4" fontId="11" fillId="0" borderId="48" xfId="0" applyNumberFormat="1" applyFont="1" applyFill="1" applyBorder="1" applyAlignment="1">
      <alignment/>
    </xf>
    <xf numFmtId="4" fontId="11" fillId="0" borderId="106" xfId="0" applyNumberFormat="1" applyFont="1" applyFill="1" applyBorder="1" applyAlignment="1">
      <alignment/>
    </xf>
    <xf numFmtId="4" fontId="11" fillId="0" borderId="107" xfId="0" applyNumberFormat="1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0" xfId="0" applyFont="1" applyBorder="1" applyAlignment="1">
      <alignment horizontal="center"/>
    </xf>
    <xf numFmtId="10" fontId="11" fillId="0" borderId="19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10" fontId="11" fillId="0" borderId="10" xfId="0" applyNumberFormat="1" applyFont="1" applyBorder="1" applyAlignment="1">
      <alignment/>
    </xf>
    <xf numFmtId="10" fontId="11" fillId="0" borderId="15" xfId="0" applyNumberFormat="1" applyFont="1" applyBorder="1" applyAlignment="1">
      <alignment/>
    </xf>
    <xf numFmtId="0" fontId="11" fillId="0" borderId="11" xfId="0" applyFont="1" applyBorder="1" applyAlignment="1">
      <alignment/>
    </xf>
    <xf numFmtId="4" fontId="11" fillId="0" borderId="13" xfId="0" applyNumberFormat="1" applyFont="1" applyBorder="1" applyAlignment="1">
      <alignment/>
    </xf>
    <xf numFmtId="10" fontId="11" fillId="0" borderId="11" xfId="0" applyNumberFormat="1" applyFont="1" applyBorder="1" applyAlignment="1">
      <alignment/>
    </xf>
    <xf numFmtId="10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1" xfId="0" applyFont="1" applyBorder="1" applyAlignment="1">
      <alignment/>
    </xf>
    <xf numFmtId="0" fontId="11" fillId="39" borderId="11" xfId="0" applyFont="1" applyFill="1" applyBorder="1" applyAlignment="1">
      <alignment/>
    </xf>
    <xf numFmtId="4" fontId="11" fillId="39" borderId="13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11" fillId="0" borderId="13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4" fontId="11" fillId="0" borderId="13" xfId="0" applyNumberFormat="1" applyFont="1" applyBorder="1" applyAlignment="1">
      <alignment/>
    </xf>
    <xf numFmtId="0" fontId="11" fillId="0" borderId="16" xfId="0" applyFont="1" applyFill="1" applyBorder="1" applyAlignment="1">
      <alignment/>
    </xf>
    <xf numFmtId="4" fontId="11" fillId="0" borderId="14" xfId="0" applyNumberFormat="1" applyFont="1" applyBorder="1" applyAlignment="1">
      <alignment/>
    </xf>
    <xf numFmtId="10" fontId="11" fillId="0" borderId="16" xfId="0" applyNumberFormat="1" applyFont="1" applyBorder="1" applyAlignment="1">
      <alignment/>
    </xf>
    <xf numFmtId="10" fontId="11" fillId="0" borderId="22" xfId="0" applyNumberFormat="1" applyFont="1" applyBorder="1" applyAlignment="1">
      <alignment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0" fontId="11" fillId="0" borderId="20" xfId="0" applyFont="1" applyBorder="1" applyAlignment="1">
      <alignment horizontal="center"/>
    </xf>
    <xf numFmtId="0" fontId="17" fillId="0" borderId="0" xfId="46" applyFont="1" applyAlignment="1" applyProtection="1">
      <alignment horizontal="center"/>
      <protection/>
    </xf>
    <xf numFmtId="4" fontId="4" fillId="0" borderId="15" xfId="0" applyNumberFormat="1" applyFont="1" applyBorder="1" applyAlignment="1">
      <alignment/>
    </xf>
    <xf numFmtId="4" fontId="4" fillId="39" borderId="0" xfId="0" applyNumberFormat="1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4" fontId="4" fillId="0" borderId="13" xfId="0" applyNumberFormat="1" applyFont="1" applyBorder="1" applyAlignment="1">
      <alignment/>
    </xf>
    <xf numFmtId="4" fontId="4" fillId="39" borderId="14" xfId="0" applyNumberFormat="1" applyFont="1" applyFill="1" applyBorder="1" applyAlignment="1">
      <alignment/>
    </xf>
    <xf numFmtId="4" fontId="4" fillId="0" borderId="14" xfId="0" applyNumberFormat="1" applyFont="1" applyBorder="1" applyAlignment="1">
      <alignment/>
    </xf>
    <xf numFmtId="4" fontId="4" fillId="39" borderId="22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0" fontId="4" fillId="0" borderId="16" xfId="0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39" borderId="15" xfId="0" applyNumberFormat="1" applyFont="1" applyFill="1" applyBorder="1" applyAlignment="1">
      <alignment/>
    </xf>
    <xf numFmtId="4" fontId="4" fillId="39" borderId="20" xfId="0" applyNumberFormat="1" applyFont="1" applyFill="1" applyBorder="1" applyAlignment="1">
      <alignment/>
    </xf>
    <xf numFmtId="0" fontId="4" fillId="39" borderId="15" xfId="0" applyFont="1" applyFill="1" applyBorder="1" applyAlignment="1">
      <alignment/>
    </xf>
    <xf numFmtId="0" fontId="4" fillId="39" borderId="20" xfId="0" applyFont="1" applyFill="1" applyBorder="1" applyAlignment="1">
      <alignment/>
    </xf>
    <xf numFmtId="4" fontId="11" fillId="0" borderId="56" xfId="0" applyNumberFormat="1" applyFont="1" applyFill="1" applyBorder="1" applyAlignment="1">
      <alignment/>
    </xf>
    <xf numFmtId="4" fontId="11" fillId="0" borderId="52" xfId="0" applyNumberFormat="1" applyFont="1" applyFill="1" applyBorder="1" applyAlignment="1">
      <alignment/>
    </xf>
    <xf numFmtId="4" fontId="14" fillId="0" borderId="105" xfId="0" applyNumberFormat="1" applyFont="1" applyFill="1" applyBorder="1" applyAlignment="1">
      <alignment/>
    </xf>
    <xf numFmtId="4" fontId="11" fillId="39" borderId="11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4" fontId="4" fillId="0" borderId="17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0" fontId="4" fillId="0" borderId="18" xfId="0" applyNumberFormat="1" applyFont="1" applyBorder="1" applyAlignment="1">
      <alignment horizontal="center"/>
    </xf>
    <xf numFmtId="10" fontId="4" fillId="0" borderId="17" xfId="0" applyNumberFormat="1" applyFont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2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14" fillId="39" borderId="69" xfId="0" applyNumberFormat="1" applyFont="1" applyFill="1" applyBorder="1" applyAlignment="1">
      <alignment horizontal="center"/>
    </xf>
    <xf numFmtId="4" fontId="14" fillId="39" borderId="70" xfId="0" applyNumberFormat="1" applyFont="1" applyFill="1" applyBorder="1" applyAlignment="1">
      <alignment horizontal="center"/>
    </xf>
    <xf numFmtId="4" fontId="11" fillId="0" borderId="52" xfId="0" applyNumberFormat="1" applyFont="1" applyBorder="1" applyAlignment="1">
      <alignment horizontal="center"/>
    </xf>
    <xf numFmtId="4" fontId="14" fillId="40" borderId="108" xfId="0" applyNumberFormat="1" applyFont="1" applyFill="1" applyBorder="1" applyAlignment="1">
      <alignment horizontal="center"/>
    </xf>
    <xf numFmtId="4" fontId="14" fillId="40" borderId="63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4" fontId="4" fillId="35" borderId="14" xfId="0" applyNumberFormat="1" applyFont="1" applyFill="1" applyBorder="1" applyAlignment="1">
      <alignment/>
    </xf>
    <xf numFmtId="4" fontId="14" fillId="33" borderId="56" xfId="0" applyNumberFormat="1" applyFont="1" applyFill="1" applyBorder="1" applyAlignment="1">
      <alignment horizontal="center"/>
    </xf>
    <xf numFmtId="4" fontId="14" fillId="33" borderId="52" xfId="0" applyNumberFormat="1" applyFont="1" applyFill="1" applyBorder="1" applyAlignment="1">
      <alignment horizontal="center"/>
    </xf>
    <xf numFmtId="4" fontId="11" fillId="0" borderId="79" xfId="0" applyNumberFormat="1" applyFont="1" applyBorder="1" applyAlignment="1">
      <alignment/>
    </xf>
    <xf numFmtId="4" fontId="14" fillId="41" borderId="109" xfId="0" applyNumberFormat="1" applyFont="1" applyFill="1" applyBorder="1" applyAlignment="1">
      <alignment/>
    </xf>
    <xf numFmtId="4" fontId="11" fillId="0" borderId="110" xfId="0" applyNumberFormat="1" applyFont="1" applyBorder="1" applyAlignment="1">
      <alignment/>
    </xf>
    <xf numFmtId="4" fontId="14" fillId="34" borderId="109" xfId="0" applyNumberFormat="1" applyFont="1" applyFill="1" applyBorder="1" applyAlignment="1">
      <alignment/>
    </xf>
    <xf numFmtId="4" fontId="14" fillId="33" borderId="91" xfId="0" applyNumberFormat="1" applyFont="1" applyFill="1" applyBorder="1" applyAlignment="1">
      <alignment horizontal="center"/>
    </xf>
    <xf numFmtId="4" fontId="14" fillId="33" borderId="83" xfId="0" applyNumberFormat="1" applyFont="1" applyFill="1" applyBorder="1" applyAlignment="1">
      <alignment horizontal="center"/>
    </xf>
    <xf numFmtId="4" fontId="14" fillId="0" borderId="79" xfId="0" applyNumberFormat="1" applyFont="1" applyBorder="1" applyAlignment="1">
      <alignment/>
    </xf>
    <xf numFmtId="4" fontId="14" fillId="39" borderId="111" xfId="0" applyNumberFormat="1" applyFont="1" applyFill="1" applyBorder="1" applyAlignment="1">
      <alignment/>
    </xf>
    <xf numFmtId="4" fontId="11" fillId="0" borderId="11" xfId="0" applyNumberFormat="1" applyFont="1" applyBorder="1" applyAlignment="1">
      <alignment wrapText="1"/>
    </xf>
    <xf numFmtId="4" fontId="11" fillId="0" borderId="0" xfId="0" applyNumberFormat="1" applyFont="1" applyBorder="1" applyAlignment="1">
      <alignment wrapText="1"/>
    </xf>
    <xf numFmtId="4" fontId="11" fillId="0" borderId="21" xfId="0" applyNumberFormat="1" applyFont="1" applyBorder="1" applyAlignment="1">
      <alignment wrapText="1"/>
    </xf>
    <xf numFmtId="4" fontId="11" fillId="0" borderId="0" xfId="0" applyNumberFormat="1" applyFont="1" applyFill="1" applyBorder="1" applyAlignment="1">
      <alignment wrapText="1"/>
    </xf>
    <xf numFmtId="4" fontId="11" fillId="0" borderId="0" xfId="0" applyNumberFormat="1" applyFont="1" applyFill="1" applyBorder="1" applyAlignment="1">
      <alignment horizontal="center"/>
    </xf>
    <xf numFmtId="4" fontId="11" fillId="0" borderId="14" xfId="0" applyNumberFormat="1" applyFont="1" applyBorder="1" applyAlignment="1">
      <alignment/>
    </xf>
    <xf numFmtId="4" fontId="11" fillId="0" borderId="112" xfId="0" applyNumberFormat="1" applyFont="1" applyBorder="1" applyAlignment="1">
      <alignment/>
    </xf>
    <xf numFmtId="4" fontId="11" fillId="0" borderId="113" xfId="0" applyNumberFormat="1" applyFont="1" applyBorder="1" applyAlignment="1">
      <alignment/>
    </xf>
    <xf numFmtId="4" fontId="11" fillId="0" borderId="114" xfId="0" applyNumberFormat="1" applyFont="1" applyBorder="1" applyAlignment="1">
      <alignment/>
    </xf>
    <xf numFmtId="4" fontId="14" fillId="41" borderId="26" xfId="0" applyNumberFormat="1" applyFont="1" applyFill="1" applyBorder="1" applyAlignment="1">
      <alignment/>
    </xf>
    <xf numFmtId="4" fontId="14" fillId="34" borderId="26" xfId="0" applyNumberFormat="1" applyFont="1" applyFill="1" applyBorder="1" applyAlignment="1">
      <alignment/>
    </xf>
    <xf numFmtId="4" fontId="14" fillId="33" borderId="10" xfId="0" applyNumberFormat="1" applyFont="1" applyFill="1" applyBorder="1" applyAlignment="1">
      <alignment horizontal="center"/>
    </xf>
    <xf numFmtId="4" fontId="11" fillId="0" borderId="41" xfId="0" applyNumberFormat="1" applyFont="1" applyBorder="1" applyAlignment="1">
      <alignment/>
    </xf>
    <xf numFmtId="4" fontId="14" fillId="41" borderId="83" xfId="0" applyNumberFormat="1" applyFont="1" applyFill="1" applyBorder="1" applyAlignment="1">
      <alignment/>
    </xf>
    <xf numFmtId="4" fontId="14" fillId="34" borderId="83" xfId="0" applyNumberFormat="1" applyFont="1" applyFill="1" applyBorder="1" applyAlignment="1">
      <alignment/>
    </xf>
    <xf numFmtId="4" fontId="14" fillId="39" borderId="46" xfId="0" applyNumberFormat="1" applyFont="1" applyFill="1" applyBorder="1" applyAlignment="1">
      <alignment/>
    </xf>
    <xf numFmtId="4" fontId="14" fillId="33" borderId="69" xfId="0" applyNumberFormat="1" applyFont="1" applyFill="1" applyBorder="1" applyAlignment="1">
      <alignment horizontal="center"/>
    </xf>
    <xf numFmtId="4" fontId="14" fillId="33" borderId="70" xfId="0" applyNumberFormat="1" applyFont="1" applyFill="1" applyBorder="1" applyAlignment="1">
      <alignment horizontal="center"/>
    </xf>
    <xf numFmtId="4" fontId="14" fillId="33" borderId="65" xfId="0" applyNumberFormat="1" applyFont="1" applyFill="1" applyBorder="1" applyAlignment="1">
      <alignment/>
    </xf>
    <xf numFmtId="4" fontId="11" fillId="0" borderId="89" xfId="0" applyNumberFormat="1" applyFont="1" applyBorder="1" applyAlignment="1">
      <alignment/>
    </xf>
    <xf numFmtId="4" fontId="11" fillId="0" borderId="58" xfId="0" applyNumberFormat="1" applyFont="1" applyBorder="1" applyAlignment="1">
      <alignment/>
    </xf>
    <xf numFmtId="4" fontId="11" fillId="0" borderId="81" xfId="0" applyNumberFormat="1" applyFont="1" applyBorder="1" applyAlignment="1">
      <alignment/>
    </xf>
    <xf numFmtId="4" fontId="11" fillId="0" borderId="82" xfId="0" applyNumberFormat="1" applyFont="1" applyBorder="1" applyAlignment="1">
      <alignment/>
    </xf>
    <xf numFmtId="4" fontId="14" fillId="41" borderId="114" xfId="0" applyNumberFormat="1" applyFont="1" applyFill="1" applyBorder="1" applyAlignment="1">
      <alignment/>
    </xf>
    <xf numFmtId="4" fontId="11" fillId="0" borderId="39" xfId="0" applyNumberFormat="1" applyFont="1" applyBorder="1" applyAlignment="1">
      <alignment/>
    </xf>
    <xf numFmtId="4" fontId="14" fillId="41" borderId="13" xfId="0" applyNumberFormat="1" applyFont="1" applyFill="1" applyBorder="1" applyAlignment="1">
      <alignment/>
    </xf>
    <xf numFmtId="4" fontId="14" fillId="34" borderId="45" xfId="0" applyNumberFormat="1" applyFont="1" applyFill="1" applyBorder="1" applyAlignment="1">
      <alignment/>
    </xf>
    <xf numFmtId="4" fontId="11" fillId="0" borderId="77" xfId="0" applyNumberFormat="1" applyFont="1" applyBorder="1" applyAlignment="1">
      <alignment/>
    </xf>
    <xf numFmtId="4" fontId="14" fillId="0" borderId="40" xfId="0" applyNumberFormat="1" applyFont="1" applyBorder="1" applyAlignment="1">
      <alignment/>
    </xf>
    <xf numFmtId="4" fontId="14" fillId="0" borderId="41" xfId="0" applyNumberFormat="1" applyFont="1" applyBorder="1" applyAlignment="1">
      <alignment/>
    </xf>
    <xf numFmtId="4" fontId="14" fillId="39" borderId="44" xfId="0" applyNumberFormat="1" applyFont="1" applyFill="1" applyBorder="1" applyAlignment="1">
      <alignment/>
    </xf>
    <xf numFmtId="4" fontId="14" fillId="33" borderId="64" xfId="0" applyNumberFormat="1" applyFont="1" applyFill="1" applyBorder="1" applyAlignment="1">
      <alignment/>
    </xf>
    <xf numFmtId="4" fontId="14" fillId="39" borderId="45" xfId="0" applyNumberFormat="1" applyFont="1" applyFill="1" applyBorder="1" applyAlignment="1">
      <alignment/>
    </xf>
    <xf numFmtId="4" fontId="11" fillId="0" borderId="11" xfId="0" applyNumberFormat="1" applyFont="1" applyBorder="1" applyAlignment="1">
      <alignment horizontal="left" vertical="center"/>
    </xf>
    <xf numFmtId="4" fontId="14" fillId="34" borderId="92" xfId="0" applyNumberFormat="1" applyFont="1" applyFill="1" applyBorder="1" applyAlignment="1">
      <alignment/>
    </xf>
    <xf numFmtId="4" fontId="14" fillId="33" borderId="115" xfId="0" applyNumberFormat="1" applyFont="1" applyFill="1" applyBorder="1" applyAlignment="1">
      <alignment/>
    </xf>
    <xf numFmtId="4" fontId="14" fillId="39" borderId="11" xfId="0" applyNumberFormat="1" applyFont="1" applyFill="1" applyBorder="1" applyAlignment="1">
      <alignment/>
    </xf>
    <xf numFmtId="4" fontId="14" fillId="39" borderId="89" xfId="0" applyNumberFormat="1" applyFont="1" applyFill="1" applyBorder="1" applyAlignment="1">
      <alignment/>
    </xf>
    <xf numFmtId="4" fontId="14" fillId="39" borderId="70" xfId="0" applyNumberFormat="1" applyFont="1" applyFill="1" applyBorder="1" applyAlignment="1">
      <alignment/>
    </xf>
    <xf numFmtId="4" fontId="14" fillId="39" borderId="47" xfId="0" applyNumberFormat="1" applyFont="1" applyFill="1" applyBorder="1" applyAlignment="1">
      <alignment/>
    </xf>
    <xf numFmtId="4" fontId="14" fillId="34" borderId="83" xfId="0" applyNumberFormat="1" applyFont="1" applyFill="1" applyBorder="1" applyAlignment="1">
      <alignment horizontal="center"/>
    </xf>
    <xf numFmtId="4" fontId="11" fillId="0" borderId="39" xfId="0" applyNumberFormat="1" applyFont="1" applyBorder="1" applyAlignment="1">
      <alignment horizontal="center"/>
    </xf>
    <xf numFmtId="4" fontId="11" fillId="34" borderId="83" xfId="0" applyNumberFormat="1" applyFont="1" applyFill="1" applyBorder="1" applyAlignment="1">
      <alignment/>
    </xf>
    <xf numFmtId="4" fontId="14" fillId="39" borderId="41" xfId="0" applyNumberFormat="1" applyFont="1" applyFill="1" applyBorder="1" applyAlignment="1">
      <alignment/>
    </xf>
    <xf numFmtId="4" fontId="11" fillId="0" borderId="61" xfId="0" applyNumberFormat="1" applyFont="1" applyBorder="1" applyAlignment="1">
      <alignment/>
    </xf>
    <xf numFmtId="4" fontId="11" fillId="0" borderId="37" xfId="0" applyNumberFormat="1" applyFont="1" applyBorder="1" applyAlignment="1">
      <alignment/>
    </xf>
    <xf numFmtId="4" fontId="11" fillId="0" borderId="78" xfId="0" applyNumberFormat="1" applyFont="1" applyBorder="1" applyAlignment="1">
      <alignment horizontal="center" wrapText="1"/>
    </xf>
    <xf numFmtId="4" fontId="14" fillId="33" borderId="55" xfId="0" applyNumberFormat="1" applyFont="1" applyFill="1" applyBorder="1" applyAlignment="1">
      <alignment horizontal="center"/>
    </xf>
    <xf numFmtId="4" fontId="14" fillId="39" borderId="96" xfId="0" applyNumberFormat="1" applyFont="1" applyFill="1" applyBorder="1" applyAlignment="1">
      <alignment/>
    </xf>
    <xf numFmtId="4" fontId="14" fillId="39" borderId="63" xfId="0" applyNumberFormat="1" applyFont="1" applyFill="1" applyBorder="1" applyAlignment="1">
      <alignment/>
    </xf>
    <xf numFmtId="4" fontId="11" fillId="0" borderId="21" xfId="0" applyNumberFormat="1" applyFont="1" applyFill="1" applyBorder="1" applyAlignment="1">
      <alignment/>
    </xf>
    <xf numFmtId="0" fontId="11" fillId="0" borderId="10" xfId="0" applyNumberFormat="1" applyFont="1" applyBorder="1" applyAlignment="1">
      <alignment/>
    </xf>
    <xf numFmtId="0" fontId="11" fillId="0" borderId="15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11" fillId="0" borderId="22" xfId="0" applyNumberFormat="1" applyFont="1" applyBorder="1" applyAlignment="1">
      <alignment/>
    </xf>
    <xf numFmtId="0" fontId="11" fillId="0" borderId="18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15" xfId="0" applyNumberFormat="1" applyFont="1" applyFill="1" applyBorder="1" applyAlignment="1">
      <alignment/>
    </xf>
    <xf numFmtId="0" fontId="4" fillId="0" borderId="15" xfId="0" applyNumberFormat="1" applyFont="1" applyBorder="1" applyAlignment="1">
      <alignment/>
    </xf>
    <xf numFmtId="0" fontId="4" fillId="0" borderId="22" xfId="0" applyNumberFormat="1" applyFont="1" applyBorder="1" applyAlignment="1">
      <alignment/>
    </xf>
    <xf numFmtId="0" fontId="11" fillId="0" borderId="19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/>
    </xf>
    <xf numFmtId="0" fontId="11" fillId="0" borderId="23" xfId="0" applyNumberFormat="1" applyFont="1" applyBorder="1" applyAlignment="1">
      <alignment/>
    </xf>
    <xf numFmtId="0" fontId="11" fillId="0" borderId="21" xfId="0" applyFont="1" applyBorder="1" applyAlignment="1">
      <alignment horizontal="center"/>
    </xf>
    <xf numFmtId="0" fontId="11" fillId="0" borderId="21" xfId="0" applyNumberFormat="1" applyFont="1" applyBorder="1" applyAlignment="1">
      <alignment/>
    </xf>
    <xf numFmtId="10" fontId="11" fillId="0" borderId="18" xfId="0" applyNumberFormat="1" applyFont="1" applyBorder="1" applyAlignment="1">
      <alignment/>
    </xf>
    <xf numFmtId="10" fontId="11" fillId="0" borderId="17" xfId="0" applyNumberFormat="1" applyFont="1" applyBorder="1" applyAlignment="1">
      <alignment/>
    </xf>
    <xf numFmtId="10" fontId="11" fillId="0" borderId="20" xfId="0" applyNumberFormat="1" applyFont="1" applyBorder="1" applyAlignment="1">
      <alignment/>
    </xf>
    <xf numFmtId="10" fontId="11" fillId="0" borderId="21" xfId="0" applyNumberFormat="1" applyFont="1" applyBorder="1" applyAlignment="1">
      <alignment/>
    </xf>
    <xf numFmtId="10" fontId="11" fillId="0" borderId="23" xfId="0" applyNumberFormat="1" applyFont="1" applyBorder="1" applyAlignment="1">
      <alignment/>
    </xf>
    <xf numFmtId="4" fontId="11" fillId="39" borderId="21" xfId="0" applyNumberFormat="1" applyFont="1" applyFill="1" applyBorder="1" applyAlignment="1">
      <alignment/>
    </xf>
    <xf numFmtId="4" fontId="11" fillId="0" borderId="11" xfId="0" applyNumberFormat="1" applyFont="1" applyBorder="1" applyAlignment="1">
      <alignment/>
    </xf>
    <xf numFmtId="4" fontId="11" fillId="0" borderId="16" xfId="0" applyNumberFormat="1" applyFont="1" applyBorder="1" applyAlignment="1">
      <alignment/>
    </xf>
    <xf numFmtId="4" fontId="11" fillId="0" borderId="21" xfId="0" applyNumberFormat="1" applyFont="1" applyBorder="1" applyAlignment="1">
      <alignment/>
    </xf>
    <xf numFmtId="4" fontId="11" fillId="0" borderId="23" xfId="0" applyNumberFormat="1" applyFont="1" applyFill="1" applyBorder="1" applyAlignment="1">
      <alignment/>
    </xf>
    <xf numFmtId="4" fontId="11" fillId="39" borderId="11" xfId="0" applyNumberFormat="1" applyFont="1" applyFill="1" applyBorder="1" applyAlignment="1">
      <alignment/>
    </xf>
    <xf numFmtId="4" fontId="11" fillId="39" borderId="0" xfId="0" applyNumberFormat="1" applyFont="1" applyFill="1" applyBorder="1" applyAlignment="1">
      <alignment/>
    </xf>
    <xf numFmtId="4" fontId="0" fillId="0" borderId="0" xfId="0" applyNumberFormat="1" applyAlignment="1">
      <alignment horizontal="center"/>
    </xf>
    <xf numFmtId="4" fontId="11" fillId="34" borderId="15" xfId="0" applyNumberFormat="1" applyFont="1" applyFill="1" applyBorder="1" applyAlignment="1">
      <alignment/>
    </xf>
    <xf numFmtId="4" fontId="11" fillId="34" borderId="22" xfId="0" applyNumberFormat="1" applyFont="1" applyFill="1" applyBorder="1" applyAlignment="1">
      <alignment/>
    </xf>
    <xf numFmtId="0" fontId="0" fillId="0" borderId="0" xfId="0" applyAlignment="1">
      <alignment horizontal="center"/>
    </xf>
    <xf numFmtId="181" fontId="11" fillId="0" borderId="0" xfId="0" applyNumberFormat="1" applyFont="1" applyBorder="1" applyAlignment="1">
      <alignment/>
    </xf>
    <xf numFmtId="4" fontId="0" fillId="0" borderId="0" xfId="0" applyNumberFormat="1" applyAlignment="1">
      <alignment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/>
    </xf>
    <xf numFmtId="4" fontId="0" fillId="0" borderId="18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5" xfId="0" applyNumberFormat="1" applyFont="1" applyBorder="1" applyAlignment="1">
      <alignment/>
    </xf>
    <xf numFmtId="4" fontId="0" fillId="0" borderId="0" xfId="0" applyNumberFormat="1" applyBorder="1" applyAlignment="1" quotePrefix="1">
      <alignment/>
    </xf>
    <xf numFmtId="10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81" fontId="11" fillId="0" borderId="21" xfId="0" applyNumberFormat="1" applyFont="1" applyBorder="1" applyAlignment="1">
      <alignment/>
    </xf>
    <xf numFmtId="4" fontId="11" fillId="37" borderId="0" xfId="0" applyNumberFormat="1" applyFont="1" applyFill="1" applyBorder="1" applyAlignment="1">
      <alignment/>
    </xf>
    <xf numFmtId="4" fontId="11" fillId="34" borderId="0" xfId="0" applyNumberFormat="1" applyFont="1" applyFill="1" applyBorder="1" applyAlignment="1">
      <alignment/>
    </xf>
    <xf numFmtId="0" fontId="0" fillId="0" borderId="15" xfId="0" applyNumberFormat="1" applyBorder="1" applyAlignment="1">
      <alignment horizontal="center"/>
    </xf>
    <xf numFmtId="0" fontId="0" fillId="0" borderId="15" xfId="0" applyBorder="1" applyAlignment="1">
      <alignment/>
    </xf>
    <xf numFmtId="10" fontId="1" fillId="0" borderId="0" xfId="0" applyNumberFormat="1" applyFont="1" applyBorder="1" applyAlignment="1">
      <alignment horizontal="center"/>
    </xf>
    <xf numFmtId="0" fontId="0" fillId="0" borderId="0" xfId="0" applyBorder="1" applyAlignment="1" quotePrefix="1">
      <alignment/>
    </xf>
    <xf numFmtId="0" fontId="1" fillId="0" borderId="0" xfId="0" applyFont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75" xfId="0" applyBorder="1" applyAlignment="1">
      <alignment/>
    </xf>
    <xf numFmtId="0" fontId="0" fillId="0" borderId="32" xfId="0" applyBorder="1" applyAlignment="1">
      <alignment/>
    </xf>
    <xf numFmtId="0" fontId="0" fillId="0" borderId="76" xfId="0" applyBorder="1" applyAlignment="1">
      <alignment/>
    </xf>
    <xf numFmtId="4" fontId="11" fillId="0" borderId="10" xfId="0" applyNumberFormat="1" applyFont="1" applyBorder="1" applyAlignment="1">
      <alignment horizontal="center"/>
    </xf>
    <xf numFmtId="14" fontId="0" fillId="0" borderId="14" xfId="0" applyNumberFormat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16" xfId="0" applyBorder="1" applyAlignment="1">
      <alignment/>
    </xf>
    <xf numFmtId="0" fontId="0" fillId="0" borderId="117" xfId="0" applyBorder="1" applyAlignment="1">
      <alignment/>
    </xf>
    <xf numFmtId="14" fontId="0" fillId="0" borderId="118" xfId="0" applyNumberFormat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20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0" xfId="0" applyFill="1" applyBorder="1" applyAlignment="1">
      <alignment horizontal="center"/>
    </xf>
    <xf numFmtId="0" fontId="0" fillId="39" borderId="21" xfId="0" applyFill="1" applyBorder="1" applyAlignment="1">
      <alignment horizontal="center"/>
    </xf>
    <xf numFmtId="0" fontId="0" fillId="39" borderId="0" xfId="0" applyFill="1" applyBorder="1" applyAlignment="1">
      <alignment/>
    </xf>
    <xf numFmtId="0" fontId="0" fillId="39" borderId="21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22" xfId="0" applyFill="1" applyBorder="1" applyAlignment="1">
      <alignment/>
    </xf>
    <xf numFmtId="0" fontId="0" fillId="39" borderId="23" xfId="0" applyFill="1" applyBorder="1" applyAlignment="1">
      <alignment/>
    </xf>
    <xf numFmtId="0" fontId="15" fillId="39" borderId="0" xfId="46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10" fontId="0" fillId="0" borderId="0" xfId="0" applyNumberFormat="1" applyAlignment="1">
      <alignment vertical="center"/>
    </xf>
    <xf numFmtId="4" fontId="4" fillId="0" borderId="89" xfId="0" applyNumberFormat="1" applyFont="1" applyBorder="1" applyAlignment="1">
      <alignment horizontal="center" vertical="center" wrapText="1"/>
    </xf>
    <xf numFmtId="4" fontId="4" fillId="0" borderId="67" xfId="0" applyNumberFormat="1" applyFont="1" applyBorder="1" applyAlignment="1">
      <alignment horizontal="center" vertical="center" wrapText="1"/>
    </xf>
    <xf numFmtId="4" fontId="4" fillId="0" borderId="70" xfId="0" applyNumberFormat="1" applyFont="1" applyBorder="1" applyAlignment="1">
      <alignment horizontal="center" vertical="center" wrapText="1"/>
    </xf>
    <xf numFmtId="4" fontId="4" fillId="0" borderId="55" xfId="0" applyNumberFormat="1" applyFont="1" applyBorder="1" applyAlignment="1">
      <alignment horizontal="center" vertical="center" wrapText="1"/>
    </xf>
    <xf numFmtId="0" fontId="0" fillId="0" borderId="119" xfId="0" applyFill="1" applyBorder="1" applyAlignment="1">
      <alignment/>
    </xf>
    <xf numFmtId="0" fontId="0" fillId="0" borderId="119" xfId="0" applyBorder="1" applyAlignment="1">
      <alignment/>
    </xf>
    <xf numFmtId="0" fontId="0" fillId="0" borderId="120" xfId="0" applyFill="1" applyBorder="1" applyAlignment="1">
      <alignment/>
    </xf>
    <xf numFmtId="0" fontId="0" fillId="0" borderId="120" xfId="0" applyBorder="1" applyAlignment="1">
      <alignment/>
    </xf>
    <xf numFmtId="0" fontId="0" fillId="0" borderId="121" xfId="0" applyFill="1" applyBorder="1" applyAlignment="1">
      <alignment/>
    </xf>
    <xf numFmtId="0" fontId="0" fillId="0" borderId="122" xfId="0" applyFill="1" applyBorder="1" applyAlignment="1">
      <alignment/>
    </xf>
    <xf numFmtId="0" fontId="0" fillId="0" borderId="121" xfId="0" applyBorder="1" applyAlignment="1">
      <alignment/>
    </xf>
    <xf numFmtId="0" fontId="0" fillId="0" borderId="123" xfId="0" applyFill="1" applyBorder="1" applyAlignment="1">
      <alignment/>
    </xf>
    <xf numFmtId="0" fontId="0" fillId="0" borderId="124" xfId="0" applyFill="1" applyBorder="1" applyAlignment="1">
      <alignment/>
    </xf>
    <xf numFmtId="0" fontId="0" fillId="0" borderId="123" xfId="0" applyBorder="1" applyAlignment="1">
      <alignment/>
    </xf>
    <xf numFmtId="0" fontId="0" fillId="0" borderId="124" xfId="0" applyBorder="1" applyAlignment="1">
      <alignment/>
    </xf>
    <xf numFmtId="0" fontId="0" fillId="0" borderId="125" xfId="0" applyFill="1" applyBorder="1" applyAlignment="1">
      <alignment/>
    </xf>
    <xf numFmtId="0" fontId="0" fillId="0" borderId="126" xfId="0" applyFill="1" applyBorder="1" applyAlignment="1">
      <alignment/>
    </xf>
    <xf numFmtId="0" fontId="0" fillId="0" borderId="127" xfId="0" applyFill="1" applyBorder="1" applyAlignment="1">
      <alignment/>
    </xf>
    <xf numFmtId="0" fontId="0" fillId="0" borderId="127" xfId="0" applyBorder="1" applyAlignment="1">
      <alignment/>
    </xf>
    <xf numFmtId="0" fontId="0" fillId="0" borderId="128" xfId="0" applyBorder="1" applyAlignment="1">
      <alignment/>
    </xf>
    <xf numFmtId="0" fontId="0" fillId="0" borderId="129" xfId="0" applyBorder="1" applyAlignment="1">
      <alignment/>
    </xf>
    <xf numFmtId="0" fontId="0" fillId="0" borderId="112" xfId="0" applyFill="1" applyBorder="1" applyAlignment="1">
      <alignment/>
    </xf>
    <xf numFmtId="0" fontId="0" fillId="0" borderId="87" xfId="0" applyFill="1" applyBorder="1" applyAlignment="1">
      <alignment/>
    </xf>
    <xf numFmtId="0" fontId="0" fillId="0" borderId="84" xfId="0" applyBorder="1" applyAlignment="1">
      <alignment/>
    </xf>
    <xf numFmtId="0" fontId="0" fillId="0" borderId="24" xfId="0" applyBorder="1" applyAlignment="1">
      <alignment/>
    </xf>
    <xf numFmtId="0" fontId="0" fillId="0" borderId="113" xfId="0" applyFill="1" applyBorder="1" applyAlignment="1">
      <alignment/>
    </xf>
    <xf numFmtId="0" fontId="0" fillId="0" borderId="88" xfId="0" applyFill="1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88" xfId="0" applyBorder="1" applyAlignment="1">
      <alignment/>
    </xf>
    <xf numFmtId="0" fontId="0" fillId="0" borderId="114" xfId="0" applyFill="1" applyBorder="1" applyAlignment="1">
      <alignment/>
    </xf>
    <xf numFmtId="0" fontId="0" fillId="0" borderId="27" xfId="0" applyBorder="1" applyAlignment="1">
      <alignment/>
    </xf>
    <xf numFmtId="0" fontId="0" fillId="0" borderId="86" xfId="0" applyBorder="1" applyAlignment="1">
      <alignment/>
    </xf>
    <xf numFmtId="0" fontId="0" fillId="0" borderId="85" xfId="0" applyBorder="1" applyAlignment="1">
      <alignment/>
    </xf>
    <xf numFmtId="0" fontId="0" fillId="0" borderId="87" xfId="0" applyBorder="1" applyAlignment="1">
      <alignment/>
    </xf>
    <xf numFmtId="0" fontId="0" fillId="36" borderId="19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0" borderId="122" xfId="0" applyBorder="1" applyAlignment="1">
      <alignment/>
    </xf>
    <xf numFmtId="0" fontId="0" fillId="0" borderId="129" xfId="0" applyFill="1" applyBorder="1" applyAlignment="1">
      <alignment/>
    </xf>
    <xf numFmtId="0" fontId="0" fillId="0" borderId="126" xfId="0" applyBorder="1" applyAlignment="1">
      <alignment/>
    </xf>
    <xf numFmtId="0" fontId="0" fillId="0" borderId="19" xfId="0" applyFill="1" applyBorder="1" applyAlignment="1">
      <alignment/>
    </xf>
    <xf numFmtId="0" fontId="0" fillId="0" borderId="84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25" xfId="0" applyBorder="1" applyAlignment="1">
      <alignment/>
    </xf>
    <xf numFmtId="0" fontId="0" fillId="0" borderId="130" xfId="0" applyBorder="1" applyAlignment="1">
      <alignment/>
    </xf>
    <xf numFmtId="0" fontId="0" fillId="36" borderId="26" xfId="0" applyFill="1" applyBorder="1" applyAlignment="1">
      <alignment horizontal="center"/>
    </xf>
    <xf numFmtId="0" fontId="0" fillId="0" borderId="128" xfId="0" applyFill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3" fontId="0" fillId="0" borderId="122" xfId="0" applyNumberFormat="1" applyFill="1" applyBorder="1" applyAlignment="1">
      <alignment horizontal="left"/>
    </xf>
    <xf numFmtId="3" fontId="0" fillId="0" borderId="124" xfId="0" applyNumberFormat="1" applyFill="1" applyBorder="1" applyAlignment="1">
      <alignment horizontal="left"/>
    </xf>
    <xf numFmtId="3" fontId="0" fillId="0" borderId="124" xfId="0" applyNumberFormat="1" applyBorder="1" applyAlignment="1">
      <alignment horizontal="left"/>
    </xf>
    <xf numFmtId="3" fontId="0" fillId="0" borderId="127" xfId="0" applyNumberFormat="1" applyBorder="1" applyAlignment="1">
      <alignment horizontal="left"/>
    </xf>
    <xf numFmtId="3" fontId="0" fillId="36" borderId="18" xfId="0" applyNumberFormat="1" applyFill="1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0" borderId="122" xfId="0" applyNumberFormat="1" applyBorder="1" applyAlignment="1">
      <alignment/>
    </xf>
    <xf numFmtId="3" fontId="0" fillId="0" borderId="124" xfId="0" applyNumberFormat="1" applyBorder="1" applyAlignment="1">
      <alignment/>
    </xf>
    <xf numFmtId="3" fontId="0" fillId="0" borderId="127" xfId="0" applyNumberFormat="1" applyBorder="1" applyAlignment="1">
      <alignment/>
    </xf>
    <xf numFmtId="3" fontId="0" fillId="0" borderId="122" xfId="0" applyNumberFormat="1" applyFill="1" applyBorder="1" applyAlignment="1">
      <alignment/>
    </xf>
    <xf numFmtId="3" fontId="0" fillId="0" borderId="124" xfId="0" applyNumberFormat="1" applyFill="1" applyBorder="1" applyAlignment="1">
      <alignment/>
    </xf>
    <xf numFmtId="3" fontId="0" fillId="0" borderId="129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4" fontId="4" fillId="0" borderId="15" xfId="0" applyNumberFormat="1" applyFont="1" applyBorder="1" applyAlignment="1">
      <alignment horizontal="center" wrapText="1"/>
    </xf>
    <xf numFmtId="4" fontId="4" fillId="0" borderId="131" xfId="0" applyNumberFormat="1" applyFont="1" applyBorder="1" applyAlignment="1">
      <alignment wrapText="1"/>
    </xf>
    <xf numFmtId="4" fontId="4" fillId="0" borderId="34" xfId="0" applyNumberFormat="1" applyFont="1" applyBorder="1" applyAlignment="1">
      <alignment wrapText="1"/>
    </xf>
    <xf numFmtId="4" fontId="4" fillId="0" borderId="132" xfId="0" applyNumberFormat="1" applyFont="1" applyBorder="1" applyAlignment="1">
      <alignment wrapText="1"/>
    </xf>
    <xf numFmtId="4" fontId="4" fillId="0" borderId="55" xfId="0" applyNumberFormat="1" applyFont="1" applyBorder="1" applyAlignment="1">
      <alignment horizontal="center"/>
    </xf>
    <xf numFmtId="4" fontId="4" fillId="0" borderId="133" xfId="0" applyNumberFormat="1" applyFont="1" applyBorder="1" applyAlignment="1">
      <alignment/>
    </xf>
    <xf numFmtId="4" fontId="4" fillId="0" borderId="113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92" xfId="0" applyNumberFormat="1" applyFont="1" applyBorder="1" applyAlignment="1">
      <alignment horizontal="center"/>
    </xf>
    <xf numFmtId="4" fontId="4" fillId="0" borderId="50" xfId="0" applyNumberFormat="1" applyFont="1" applyBorder="1" applyAlignment="1">
      <alignment/>
    </xf>
    <xf numFmtId="4" fontId="4" fillId="0" borderId="134" xfId="0" applyNumberFormat="1" applyFont="1" applyBorder="1" applyAlignment="1">
      <alignment/>
    </xf>
    <xf numFmtId="4" fontId="4" fillId="0" borderId="135" xfId="0" applyNumberFormat="1" applyFont="1" applyBorder="1" applyAlignment="1">
      <alignment wrapText="1"/>
    </xf>
    <xf numFmtId="4" fontId="4" fillId="0" borderId="40" xfId="0" applyNumberFormat="1" applyFont="1" applyBorder="1" applyAlignment="1">
      <alignment/>
    </xf>
    <xf numFmtId="4" fontId="4" fillId="0" borderId="40" xfId="0" applyNumberFormat="1" applyFont="1" applyBorder="1" applyAlignment="1">
      <alignment/>
    </xf>
    <xf numFmtId="4" fontId="4" fillId="0" borderId="61" xfId="0" applyNumberFormat="1" applyFont="1" applyBorder="1" applyAlignment="1">
      <alignment/>
    </xf>
    <xf numFmtId="4" fontId="4" fillId="0" borderId="89" xfId="0" applyNumberFormat="1" applyFont="1" applyBorder="1" applyAlignment="1">
      <alignment/>
    </xf>
    <xf numFmtId="4" fontId="4" fillId="0" borderId="55" xfId="0" applyNumberFormat="1" applyFont="1" applyBorder="1" applyAlignment="1">
      <alignment/>
    </xf>
    <xf numFmtId="4" fontId="4" fillId="0" borderId="55" xfId="0" applyNumberFormat="1" applyFont="1" applyBorder="1" applyAlignment="1">
      <alignment/>
    </xf>
    <xf numFmtId="4" fontId="4" fillId="0" borderId="81" xfId="0" applyNumberFormat="1" applyFont="1" applyBorder="1" applyAlignment="1">
      <alignment/>
    </xf>
    <xf numFmtId="4" fontId="4" fillId="0" borderId="77" xfId="0" applyNumberFormat="1" applyFont="1" applyBorder="1" applyAlignment="1">
      <alignment/>
    </xf>
    <xf numFmtId="4" fontId="4" fillId="0" borderId="89" xfId="0" applyNumberFormat="1" applyFont="1" applyBorder="1" applyAlignment="1">
      <alignment/>
    </xf>
    <xf numFmtId="4" fontId="4" fillId="0" borderId="68" xfId="0" applyNumberFormat="1" applyFont="1" applyBorder="1" applyAlignment="1">
      <alignment horizontal="center"/>
    </xf>
    <xf numFmtId="4" fontId="4" fillId="0" borderId="133" xfId="0" applyNumberFormat="1" applyFont="1" applyBorder="1" applyAlignment="1" applyProtection="1">
      <alignment/>
      <protection locked="0"/>
    </xf>
    <xf numFmtId="4" fontId="4" fillId="0" borderId="136" xfId="0" applyNumberFormat="1" applyFont="1" applyBorder="1" applyAlignment="1" applyProtection="1">
      <alignment/>
      <protection locked="0"/>
    </xf>
    <xf numFmtId="4" fontId="4" fillId="0" borderId="113" xfId="0" applyNumberFormat="1" applyFont="1" applyBorder="1" applyAlignment="1" applyProtection="1">
      <alignment/>
      <protection locked="0"/>
    </xf>
    <xf numFmtId="4" fontId="4" fillId="0" borderId="137" xfId="0" applyNumberFormat="1" applyFont="1" applyBorder="1" applyAlignment="1" applyProtection="1">
      <alignment/>
      <protection locked="0"/>
    </xf>
    <xf numFmtId="4" fontId="4" fillId="0" borderId="134" xfId="0" applyNumberFormat="1" applyFont="1" applyBorder="1" applyAlignment="1" applyProtection="1">
      <alignment/>
      <protection locked="0"/>
    </xf>
    <xf numFmtId="4" fontId="4" fillId="0" borderId="138" xfId="0" applyNumberFormat="1" applyFont="1" applyBorder="1" applyAlignment="1" applyProtection="1">
      <alignment/>
      <protection locked="0"/>
    </xf>
    <xf numFmtId="4" fontId="4" fillId="0" borderId="81" xfId="0" applyNumberFormat="1" applyFont="1" applyBorder="1" applyAlignment="1" applyProtection="1">
      <alignment/>
      <protection locked="0"/>
    </xf>
    <xf numFmtId="4" fontId="4" fillId="0" borderId="82" xfId="0" applyNumberFormat="1" applyFont="1" applyBorder="1" applyAlignment="1" applyProtection="1">
      <alignment/>
      <protection locked="0"/>
    </xf>
    <xf numFmtId="4" fontId="4" fillId="0" borderId="139" xfId="0" applyNumberFormat="1" applyFont="1" applyBorder="1" applyAlignment="1" applyProtection="1">
      <alignment/>
      <protection locked="0"/>
    </xf>
    <xf numFmtId="4" fontId="4" fillId="0" borderId="90" xfId="0" applyNumberFormat="1" applyFont="1" applyBorder="1" applyAlignment="1" applyProtection="1">
      <alignment/>
      <protection locked="0"/>
    </xf>
    <xf numFmtId="4" fontId="4" fillId="0" borderId="13" xfId="0" applyNumberFormat="1" applyFont="1" applyBorder="1" applyAlignment="1" applyProtection="1">
      <alignment/>
      <protection locked="0"/>
    </xf>
    <xf numFmtId="4" fontId="4" fillId="0" borderId="41" xfId="0" applyNumberFormat="1" applyFont="1" applyBorder="1" applyAlignment="1" applyProtection="1">
      <alignment/>
      <protection locked="0"/>
    </xf>
    <xf numFmtId="4" fontId="7" fillId="0" borderId="140" xfId="0" applyNumberFormat="1" applyFont="1" applyBorder="1" applyAlignment="1">
      <alignment horizontal="center" vertical="center" wrapText="1"/>
    </xf>
    <xf numFmtId="4" fontId="4" fillId="0" borderId="65" xfId="0" applyNumberFormat="1" applyFont="1" applyBorder="1" applyAlignment="1">
      <alignment/>
    </xf>
    <xf numFmtId="4" fontId="4" fillId="0" borderId="141" xfId="0" applyNumberFormat="1" applyFont="1" applyBorder="1" applyAlignment="1" applyProtection="1">
      <alignment/>
      <protection/>
    </xf>
    <xf numFmtId="4" fontId="4" fillId="0" borderId="40" xfId="0" applyNumberFormat="1" applyFont="1" applyBorder="1" applyAlignment="1" applyProtection="1">
      <alignment/>
      <protection locked="0"/>
    </xf>
    <xf numFmtId="4" fontId="4" fillId="0" borderId="67" xfId="0" applyNumberFormat="1" applyFont="1" applyBorder="1" applyAlignment="1" applyProtection="1">
      <alignment/>
      <protection/>
    </xf>
    <xf numFmtId="4" fontId="4" fillId="0" borderId="36" xfId="0" applyNumberFormat="1" applyFont="1" applyBorder="1" applyAlignment="1" applyProtection="1">
      <alignment/>
      <protection locked="0"/>
    </xf>
    <xf numFmtId="0" fontId="7" fillId="0" borderId="18" xfId="0" applyNumberFormat="1" applyFont="1" applyFill="1" applyBorder="1" applyAlignment="1" applyProtection="1">
      <alignment/>
      <protection locked="0"/>
    </xf>
    <xf numFmtId="0" fontId="7" fillId="0" borderId="19" xfId="0" applyNumberFormat="1" applyFont="1" applyFill="1" applyBorder="1" applyAlignment="1" applyProtection="1">
      <alignment/>
      <protection locked="0"/>
    </xf>
    <xf numFmtId="0" fontId="7" fillId="0" borderId="17" xfId="0" applyNumberFormat="1" applyFont="1" applyFill="1" applyBorder="1" applyAlignment="1" applyProtection="1">
      <alignment/>
      <protection locked="0"/>
    </xf>
    <xf numFmtId="177" fontId="4" fillId="0" borderId="15" xfId="0" applyNumberFormat="1" applyFont="1" applyBorder="1" applyAlignment="1" applyProtection="1">
      <alignment/>
      <protection locked="0"/>
    </xf>
    <xf numFmtId="177" fontId="4" fillId="0" borderId="25" xfId="0" applyNumberFormat="1" applyFont="1" applyBorder="1" applyAlignment="1" applyProtection="1">
      <alignment/>
      <protection locked="0"/>
    </xf>
    <xf numFmtId="177" fontId="4" fillId="0" borderId="0" xfId="0" applyNumberFormat="1" applyFont="1" applyBorder="1" applyAlignment="1" applyProtection="1">
      <alignment/>
      <protection locked="0"/>
    </xf>
    <xf numFmtId="177" fontId="4" fillId="0" borderId="10" xfId="0" applyNumberFormat="1" applyFont="1" applyBorder="1" applyAlignment="1" applyProtection="1">
      <alignment/>
      <protection locked="0"/>
    </xf>
    <xf numFmtId="177" fontId="4" fillId="0" borderId="11" xfId="0" applyNumberFormat="1" applyFont="1" applyBorder="1" applyAlignment="1" applyProtection="1">
      <alignment/>
      <protection locked="0"/>
    </xf>
    <xf numFmtId="177" fontId="4" fillId="0" borderId="16" xfId="0" applyNumberFormat="1" applyFont="1" applyBorder="1" applyAlignment="1" applyProtection="1">
      <alignment/>
      <protection locked="0"/>
    </xf>
    <xf numFmtId="177" fontId="4" fillId="34" borderId="20" xfId="0" applyNumberFormat="1" applyFont="1" applyFill="1" applyBorder="1" applyAlignment="1" applyProtection="1">
      <alignment/>
      <protection/>
    </xf>
    <xf numFmtId="177" fontId="4" fillId="0" borderId="21" xfId="0" applyNumberFormat="1" applyFont="1" applyFill="1" applyBorder="1" applyAlignment="1" applyProtection="1">
      <alignment/>
      <protection/>
    </xf>
    <xf numFmtId="0" fontId="7" fillId="0" borderId="19" xfId="0" applyNumberFormat="1" applyFont="1" applyFill="1" applyBorder="1" applyAlignment="1" applyProtection="1">
      <alignment/>
      <protection/>
    </xf>
    <xf numFmtId="177" fontId="4" fillId="34" borderId="21" xfId="0" applyNumberFormat="1" applyFont="1" applyFill="1" applyBorder="1" applyAlignment="1" applyProtection="1">
      <alignment/>
      <protection/>
    </xf>
    <xf numFmtId="177" fontId="4" fillId="39" borderId="23" xfId="0" applyNumberFormat="1" applyFont="1" applyFill="1" applyBorder="1" applyAlignment="1" applyProtection="1">
      <alignment/>
      <protection/>
    </xf>
    <xf numFmtId="177" fontId="4" fillId="0" borderId="20" xfId="0" applyNumberFormat="1" applyFont="1" applyFill="1" applyBorder="1" applyAlignment="1" applyProtection="1">
      <alignment/>
      <protection/>
    </xf>
    <xf numFmtId="177" fontId="4" fillId="34" borderId="0" xfId="0" applyNumberFormat="1" applyFont="1" applyFill="1" applyBorder="1" applyAlignment="1" applyProtection="1">
      <alignment/>
      <protection/>
    </xf>
    <xf numFmtId="177" fontId="4" fillId="34" borderId="23" xfId="0" applyNumberFormat="1" applyFont="1" applyFill="1" applyBorder="1" applyAlignment="1" applyProtection="1">
      <alignment/>
      <protection/>
    </xf>
    <xf numFmtId="177" fontId="4" fillId="0" borderId="23" xfId="0" applyNumberFormat="1" applyFont="1" applyFill="1" applyBorder="1" applyAlignment="1" applyProtection="1">
      <alignment/>
      <protection/>
    </xf>
    <xf numFmtId="177" fontId="4" fillId="34" borderId="142" xfId="0" applyNumberFormat="1" applyFont="1" applyFill="1" applyBorder="1" applyAlignment="1" applyProtection="1">
      <alignment/>
      <protection/>
    </xf>
    <xf numFmtId="177" fontId="4" fillId="0" borderId="30" xfId="0" applyNumberFormat="1" applyFont="1" applyFill="1" applyBorder="1" applyAlignment="1" applyProtection="1">
      <alignment/>
      <protection/>
    </xf>
    <xf numFmtId="177" fontId="4" fillId="39" borderId="22" xfId="0" applyNumberFormat="1" applyFont="1" applyFill="1" applyBorder="1" applyAlignment="1" applyProtection="1">
      <alignment/>
      <protection/>
    </xf>
    <xf numFmtId="177" fontId="4" fillId="39" borderId="1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39" borderId="16" xfId="0" applyNumberFormat="1" applyFont="1" applyFill="1" applyBorder="1" applyAlignment="1" applyProtection="1">
      <alignment/>
      <protection/>
    </xf>
    <xf numFmtId="0" fontId="4" fillId="39" borderId="22" xfId="0" applyNumberFormat="1" applyFont="1" applyFill="1" applyBorder="1" applyAlignment="1" applyProtection="1">
      <alignment/>
      <protection/>
    </xf>
    <xf numFmtId="0" fontId="4" fillId="39" borderId="23" xfId="0" applyNumberFormat="1" applyFont="1" applyFill="1" applyBorder="1" applyAlignment="1" applyProtection="1">
      <alignment/>
      <protection/>
    </xf>
    <xf numFmtId="4" fontId="11" fillId="34" borderId="11" xfId="0" applyNumberFormat="1" applyFont="1" applyFill="1" applyBorder="1" applyAlignment="1" applyProtection="1">
      <alignment horizontal="right"/>
      <protection/>
    </xf>
    <xf numFmtId="0" fontId="11" fillId="34" borderId="75" xfId="0" applyNumberFormat="1" applyFont="1" applyFill="1" applyBorder="1" applyAlignment="1" applyProtection="1">
      <alignment/>
      <protection/>
    </xf>
    <xf numFmtId="4" fontId="11" fillId="34" borderId="32" xfId="0" applyNumberFormat="1" applyFont="1" applyFill="1" applyBorder="1" applyAlignment="1" applyProtection="1">
      <alignment/>
      <protection/>
    </xf>
    <xf numFmtId="4" fontId="11" fillId="34" borderId="76" xfId="0" applyNumberFormat="1" applyFont="1" applyFill="1" applyBorder="1" applyAlignment="1" applyProtection="1">
      <alignment/>
      <protection/>
    </xf>
    <xf numFmtId="0" fontId="4" fillId="34" borderId="11" xfId="0" applyFont="1" applyFill="1" applyBorder="1" applyAlignment="1" applyProtection="1">
      <alignment/>
      <protection/>
    </xf>
    <xf numFmtId="0" fontId="4" fillId="34" borderId="0" xfId="0" applyNumberFormat="1" applyFont="1" applyFill="1" applyBorder="1" applyAlignment="1" applyProtection="1">
      <alignment/>
      <protection/>
    </xf>
    <xf numFmtId="4" fontId="4" fillId="34" borderId="0" xfId="0" applyNumberFormat="1" applyFont="1" applyFill="1" applyBorder="1" applyAlignment="1" applyProtection="1">
      <alignment/>
      <protection/>
    </xf>
    <xf numFmtId="4" fontId="4" fillId="34" borderId="21" xfId="0" applyNumberFormat="1" applyFont="1" applyFill="1" applyBorder="1" applyAlignment="1" applyProtection="1">
      <alignment/>
      <protection/>
    </xf>
    <xf numFmtId="0" fontId="4" fillId="39" borderId="18" xfId="0" applyNumberFormat="1" applyFont="1" applyFill="1" applyBorder="1" applyAlignment="1" applyProtection="1">
      <alignment horizontal="right"/>
      <protection/>
    </xf>
    <xf numFmtId="177" fontId="4" fillId="39" borderId="19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4" fontId="4" fillId="0" borderId="12" xfId="0" applyNumberFormat="1" applyFont="1" applyBorder="1" applyAlignment="1" applyProtection="1">
      <alignment/>
      <protection locked="0"/>
    </xf>
    <xf numFmtId="171" fontId="4" fillId="0" borderId="0" xfId="0" applyNumberFormat="1" applyFont="1" applyBorder="1" applyAlignment="1" applyProtection="1">
      <alignment/>
      <protection locked="0"/>
    </xf>
    <xf numFmtId="171" fontId="4" fillId="0" borderId="21" xfId="0" applyNumberFormat="1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171" fontId="4" fillId="0" borderId="22" xfId="0" applyNumberFormat="1" applyFont="1" applyBorder="1" applyAlignment="1" applyProtection="1">
      <alignment/>
      <protection locked="0"/>
    </xf>
    <xf numFmtId="171" fontId="4" fillId="0" borderId="23" xfId="0" applyNumberFormat="1" applyFont="1" applyBorder="1" applyAlignment="1" applyProtection="1">
      <alignment/>
      <protection locked="0"/>
    </xf>
    <xf numFmtId="4" fontId="4" fillId="0" borderId="14" xfId="0" applyNumberFormat="1" applyFont="1" applyBorder="1" applyAlignment="1" applyProtection="1">
      <alignment/>
      <protection locked="0"/>
    </xf>
    <xf numFmtId="171" fontId="4" fillId="0" borderId="19" xfId="0" applyNumberFormat="1" applyFont="1" applyBorder="1" applyAlignment="1">
      <alignment/>
    </xf>
    <xf numFmtId="171" fontId="4" fillId="0" borderId="17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34" borderId="17" xfId="0" applyFont="1" applyFill="1" applyBorder="1" applyAlignment="1">
      <alignment/>
    </xf>
    <xf numFmtId="0" fontId="4" fillId="34" borderId="18" xfId="0" applyNumberFormat="1" applyFont="1" applyFill="1" applyBorder="1" applyAlignment="1">
      <alignment/>
    </xf>
    <xf numFmtId="0" fontId="4" fillId="34" borderId="19" xfId="0" applyNumberFormat="1" applyFont="1" applyFill="1" applyBorder="1" applyAlignment="1">
      <alignment/>
    </xf>
    <xf numFmtId="2" fontId="4" fillId="34" borderId="17" xfId="0" applyNumberFormat="1" applyFont="1" applyFill="1" applyBorder="1" applyAlignment="1">
      <alignment/>
    </xf>
    <xf numFmtId="0" fontId="4" fillId="39" borderId="14" xfId="0" applyNumberFormat="1" applyFont="1" applyFill="1" applyBorder="1" applyAlignment="1" applyProtection="1">
      <alignment horizontal="right"/>
      <protection/>
    </xf>
    <xf numFmtId="177" fontId="4" fillId="39" borderId="16" xfId="0" applyNumberFormat="1" applyFont="1" applyFill="1" applyBorder="1" applyAlignment="1" applyProtection="1">
      <alignment/>
      <protection/>
    </xf>
    <xf numFmtId="0" fontId="4" fillId="39" borderId="26" xfId="0" applyNumberFormat="1" applyFont="1" applyFill="1" applyBorder="1" applyAlignment="1" applyProtection="1">
      <alignment horizontal="right"/>
      <protection/>
    </xf>
    <xf numFmtId="4" fontId="4" fillId="39" borderId="18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77" fontId="4" fillId="39" borderId="18" xfId="0" applyNumberFormat="1" applyFont="1" applyFill="1" applyBorder="1" applyAlignment="1" applyProtection="1">
      <alignment/>
      <protection/>
    </xf>
    <xf numFmtId="4" fontId="4" fillId="39" borderId="18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4" fillId="34" borderId="11" xfId="0" applyNumberFormat="1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 horizontal="right"/>
      <protection/>
    </xf>
    <xf numFmtId="177" fontId="4" fillId="34" borderId="16" xfId="0" applyNumberFormat="1" applyFont="1" applyFill="1" applyBorder="1" applyAlignment="1" applyProtection="1">
      <alignment/>
      <protection/>
    </xf>
    <xf numFmtId="177" fontId="4" fillId="34" borderId="22" xfId="0" applyNumberFormat="1" applyFont="1" applyFill="1" applyBorder="1" applyAlignment="1" applyProtection="1">
      <alignment/>
      <protection/>
    </xf>
    <xf numFmtId="0" fontId="4" fillId="34" borderId="114" xfId="0" applyNumberFormat="1" applyFont="1" applyFill="1" applyBorder="1" applyAlignment="1" applyProtection="1">
      <alignment horizontal="right"/>
      <protection/>
    </xf>
    <xf numFmtId="177" fontId="4" fillId="34" borderId="143" xfId="0" applyNumberFormat="1" applyFont="1" applyFill="1" applyBorder="1" applyAlignment="1" applyProtection="1">
      <alignment/>
      <protection/>
    </xf>
    <xf numFmtId="177" fontId="4" fillId="34" borderId="29" xfId="0" applyNumberFormat="1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 horizontal="right"/>
      <protection/>
    </xf>
    <xf numFmtId="0" fontId="4" fillId="34" borderId="13" xfId="0" applyNumberFormat="1" applyFont="1" applyFill="1" applyBorder="1" applyAlignment="1" applyProtection="1">
      <alignment horizontal="right"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0" xfId="0" applyNumberFormat="1" applyFont="1" applyFill="1" applyBorder="1" applyAlignment="1" applyProtection="1">
      <alignment/>
      <protection/>
    </xf>
    <xf numFmtId="4" fontId="4" fillId="34" borderId="13" xfId="0" applyNumberFormat="1" applyFont="1" applyFill="1" applyBorder="1" applyAlignment="1" applyProtection="1">
      <alignment/>
      <protection/>
    </xf>
    <xf numFmtId="4" fontId="4" fillId="39" borderId="13" xfId="0" applyNumberFormat="1" applyFont="1" applyFill="1" applyBorder="1" applyAlignment="1" applyProtection="1">
      <alignment/>
      <protection/>
    </xf>
    <xf numFmtId="4" fontId="4" fillId="39" borderId="0" xfId="0" applyNumberFormat="1" applyFont="1" applyFill="1" applyBorder="1" applyAlignment="1" applyProtection="1">
      <alignment/>
      <protection/>
    </xf>
    <xf numFmtId="4" fontId="11" fillId="34" borderId="11" xfId="0" applyNumberFormat="1" applyFont="1" applyFill="1" applyBorder="1" applyAlignment="1" applyProtection="1">
      <alignment/>
      <protection/>
    </xf>
    <xf numFmtId="4" fontId="4" fillId="34" borderId="11" xfId="0" applyNumberFormat="1" applyFont="1" applyFill="1" applyBorder="1" applyAlignment="1" applyProtection="1">
      <alignment/>
      <protection/>
    </xf>
    <xf numFmtId="4" fontId="4" fillId="0" borderId="15" xfId="0" applyNumberFormat="1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21" xfId="0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4" fontId="4" fillId="0" borderId="21" xfId="0" applyNumberFormat="1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/>
      <protection locked="0"/>
    </xf>
    <xf numFmtId="0" fontId="4" fillId="0" borderId="22" xfId="0" applyFont="1" applyFill="1" applyBorder="1" applyAlignment="1" applyProtection="1">
      <alignment/>
      <protection locked="0"/>
    </xf>
    <xf numFmtId="4" fontId="4" fillId="0" borderId="22" xfId="0" applyNumberFormat="1" applyFont="1" applyFill="1" applyBorder="1" applyAlignment="1" applyProtection="1">
      <alignment/>
      <protection locked="0"/>
    </xf>
    <xf numFmtId="4" fontId="4" fillId="0" borderId="23" xfId="0" applyNumberFormat="1" applyFont="1" applyFill="1" applyBorder="1" applyAlignment="1" applyProtection="1">
      <alignment/>
      <protection locked="0"/>
    </xf>
    <xf numFmtId="4" fontId="4" fillId="0" borderId="15" xfId="0" applyNumberFormat="1" applyFont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 locked="0"/>
    </xf>
    <xf numFmtId="177" fontId="4" fillId="34" borderId="13" xfId="0" applyNumberFormat="1" applyFont="1" applyFill="1" applyBorder="1" applyAlignment="1" applyProtection="1">
      <alignment horizontal="right"/>
      <protection/>
    </xf>
    <xf numFmtId="0" fontId="4" fillId="0" borderId="21" xfId="0" applyNumberFormat="1" applyFont="1" applyFill="1" applyBorder="1" applyAlignment="1" applyProtection="1">
      <alignment/>
      <protection/>
    </xf>
    <xf numFmtId="4" fontId="4" fillId="34" borderId="0" xfId="0" applyNumberFormat="1" applyFont="1" applyFill="1" applyBorder="1" applyAlignment="1" applyProtection="1">
      <alignment/>
      <protection locked="0"/>
    </xf>
    <xf numFmtId="0" fontId="4" fillId="33" borderId="19" xfId="0" applyFont="1" applyFill="1" applyBorder="1" applyAlignment="1">
      <alignment horizontal="center"/>
    </xf>
    <xf numFmtId="171" fontId="4" fillId="0" borderId="23" xfId="0" applyNumberFormat="1" applyFont="1" applyBorder="1" applyAlignment="1">
      <alignment/>
    </xf>
    <xf numFmtId="171" fontId="4" fillId="0" borderId="20" xfId="0" applyNumberFormat="1" applyFont="1" applyBorder="1" applyAlignment="1">
      <alignment/>
    </xf>
    <xf numFmtId="171" fontId="4" fillId="0" borderId="23" xfId="0" applyNumberFormat="1" applyFont="1" applyBorder="1" applyAlignment="1">
      <alignment horizontal="center" vertical="center"/>
    </xf>
    <xf numFmtId="4" fontId="18" fillId="0" borderId="0" xfId="0" applyNumberFormat="1" applyFont="1" applyBorder="1" applyAlignment="1">
      <alignment vertical="center"/>
    </xf>
    <xf numFmtId="4" fontId="18" fillId="0" borderId="21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/>
    </xf>
    <xf numFmtId="0" fontId="4" fillId="33" borderId="17" xfId="0" applyFont="1" applyFill="1" applyBorder="1" applyAlignment="1">
      <alignment/>
    </xf>
    <xf numFmtId="10" fontId="4" fillId="33" borderId="19" xfId="0" applyNumberFormat="1" applyFont="1" applyFill="1" applyBorder="1" applyAlignment="1">
      <alignment horizontal="center"/>
    </xf>
    <xf numFmtId="4" fontId="4" fillId="39" borderId="22" xfId="0" applyNumberFormat="1" applyFont="1" applyFill="1" applyBorder="1" applyAlignment="1">
      <alignment/>
    </xf>
    <xf numFmtId="0" fontId="4" fillId="35" borderId="23" xfId="0" applyFont="1" applyFill="1" applyBorder="1" applyAlignment="1">
      <alignment/>
    </xf>
    <xf numFmtId="4" fontId="4" fillId="35" borderId="20" xfId="0" applyNumberFormat="1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4" fillId="35" borderId="26" xfId="0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4" fontId="4" fillId="39" borderId="14" xfId="0" applyNumberFormat="1" applyFont="1" applyFill="1" applyBorder="1" applyAlignment="1" applyProtection="1">
      <alignment/>
      <protection/>
    </xf>
    <xf numFmtId="0" fontId="4" fillId="41" borderId="0" xfId="0" applyFont="1" applyFill="1" applyAlignment="1">
      <alignment/>
    </xf>
    <xf numFmtId="4" fontId="4" fillId="41" borderId="0" xfId="0" applyNumberFormat="1" applyFont="1" applyFill="1" applyAlignment="1">
      <alignment/>
    </xf>
    <xf numFmtId="0" fontId="4" fillId="41" borderId="0" xfId="0" applyFont="1" applyFill="1" applyBorder="1" applyAlignment="1">
      <alignment/>
    </xf>
    <xf numFmtId="174" fontId="0" fillId="0" borderId="0" xfId="0" applyNumberFormat="1" applyAlignment="1">
      <alignment horizontal="center" wrapText="1"/>
    </xf>
    <xf numFmtId="174" fontId="0" fillId="33" borderId="25" xfId="0" applyNumberFormat="1" applyFill="1" applyBorder="1" applyAlignment="1">
      <alignment wrapText="1"/>
    </xf>
    <xf numFmtId="0" fontId="0" fillId="33" borderId="22" xfId="0" applyFill="1" applyBorder="1" applyAlignment="1">
      <alignment/>
    </xf>
    <xf numFmtId="174" fontId="0" fillId="33" borderId="0" xfId="0" applyNumberFormat="1" applyFill="1" applyAlignment="1">
      <alignment wrapText="1"/>
    </xf>
    <xf numFmtId="0" fontId="0" fillId="36" borderId="15" xfId="0" applyFill="1" applyBorder="1" applyAlignment="1">
      <alignment/>
    </xf>
    <xf numFmtId="0" fontId="4" fillId="39" borderId="0" xfId="0" applyFont="1" applyFill="1" applyBorder="1" applyAlignment="1">
      <alignment vertical="center"/>
    </xf>
    <xf numFmtId="4" fontId="4" fillId="0" borderId="26" xfId="0" applyNumberFormat="1" applyFont="1" applyFill="1" applyBorder="1" applyAlignment="1" quotePrefix="1">
      <alignment horizontal="center"/>
    </xf>
    <xf numFmtId="4" fontId="4" fillId="39" borderId="0" xfId="0" applyNumberFormat="1" applyFont="1" applyFill="1" applyBorder="1" applyAlignment="1">
      <alignment vertical="center"/>
    </xf>
    <xf numFmtId="10" fontId="4" fillId="39" borderId="21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10" fontId="4" fillId="0" borderId="21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vertical="center"/>
    </xf>
    <xf numFmtId="10" fontId="4" fillId="0" borderId="20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0" fontId="0" fillId="0" borderId="0" xfId="0" applyAlignment="1" quotePrefix="1">
      <alignment/>
    </xf>
    <xf numFmtId="177" fontId="4" fillId="39" borderId="116" xfId="0" applyNumberFormat="1" applyFont="1" applyFill="1" applyBorder="1" applyAlignment="1" applyProtection="1">
      <alignment/>
      <protection/>
    </xf>
    <xf numFmtId="177" fontId="4" fillId="39" borderId="117" xfId="0" applyNumberFormat="1" applyFont="1" applyFill="1" applyBorder="1" applyAlignment="1" applyProtection="1">
      <alignment/>
      <protection/>
    </xf>
    <xf numFmtId="177" fontId="4" fillId="39" borderId="118" xfId="0" applyNumberFormat="1" applyFont="1" applyFill="1" applyBorder="1" applyAlignment="1" applyProtection="1">
      <alignment/>
      <protection/>
    </xf>
    <xf numFmtId="0" fontId="11" fillId="34" borderId="75" xfId="0" applyNumberFormat="1" applyFont="1" applyFill="1" applyBorder="1" applyAlignment="1" applyProtection="1">
      <alignment/>
      <protection locked="0"/>
    </xf>
    <xf numFmtId="4" fontId="11" fillId="34" borderId="32" xfId="0" applyNumberFormat="1" applyFont="1" applyFill="1" applyBorder="1" applyAlignment="1" applyProtection="1">
      <alignment/>
      <protection locked="0"/>
    </xf>
    <xf numFmtId="4" fontId="11" fillId="34" borderId="76" xfId="0" applyNumberFormat="1" applyFont="1" applyFill="1" applyBorder="1" applyAlignment="1" applyProtection="1">
      <alignment/>
      <protection locked="0"/>
    </xf>
    <xf numFmtId="4" fontId="4" fillId="34" borderId="11" xfId="0" applyNumberFormat="1" applyFont="1" applyFill="1" applyBorder="1" applyAlignment="1" applyProtection="1">
      <alignment/>
      <protection locked="0"/>
    </xf>
    <xf numFmtId="4" fontId="4" fillId="39" borderId="11" xfId="0" applyNumberFormat="1" applyFont="1" applyFill="1" applyBorder="1" applyAlignment="1" applyProtection="1">
      <alignment/>
      <protection/>
    </xf>
    <xf numFmtId="4" fontId="4" fillId="0" borderId="62" xfId="0" applyNumberFormat="1" applyFont="1" applyBorder="1" applyAlignment="1">
      <alignment/>
    </xf>
    <xf numFmtId="4" fontId="4" fillId="0" borderId="33" xfId="0" applyNumberFormat="1" applyFont="1" applyBorder="1" applyAlignment="1">
      <alignment wrapText="1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0" fillId="0" borderId="69" xfId="0" applyBorder="1" applyAlignment="1">
      <alignment/>
    </xf>
    <xf numFmtId="0" fontId="0" fillId="0" borderId="55" xfId="0" applyBorder="1" applyAlignment="1">
      <alignment/>
    </xf>
    <xf numFmtId="0" fontId="0" fillId="0" borderId="70" xfId="0" applyBorder="1" applyAlignment="1">
      <alignment/>
    </xf>
    <xf numFmtId="0" fontId="0" fillId="0" borderId="57" xfId="0" applyBorder="1" applyAlignment="1">
      <alignment/>
    </xf>
    <xf numFmtId="0" fontId="0" fillId="0" borderId="47" xfId="0" applyBorder="1" applyAlignment="1">
      <alignment/>
    </xf>
    <xf numFmtId="0" fontId="0" fillId="0" borderId="47" xfId="0" applyBorder="1" applyAlignment="1" quotePrefix="1">
      <alignment/>
    </xf>
    <xf numFmtId="0" fontId="0" fillId="0" borderId="58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4" fontId="4" fillId="0" borderId="14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169" fontId="4" fillId="0" borderId="13" xfId="0" applyNumberFormat="1" applyFont="1" applyBorder="1" applyAlignment="1">
      <alignment/>
    </xf>
    <xf numFmtId="4" fontId="4" fillId="41" borderId="15" xfId="0" applyNumberFormat="1" applyFont="1" applyFill="1" applyBorder="1" applyAlignment="1">
      <alignment vertical="center"/>
    </xf>
    <xf numFmtId="10" fontId="4" fillId="41" borderId="0" xfId="0" applyNumberFormat="1" applyFont="1" applyFill="1" applyBorder="1" applyAlignment="1">
      <alignment horizontal="center" vertical="center"/>
    </xf>
    <xf numFmtId="10" fontId="4" fillId="41" borderId="15" xfId="0" applyNumberFormat="1" applyFont="1" applyFill="1" applyBorder="1" applyAlignment="1">
      <alignment horizontal="center" vertical="center"/>
    </xf>
    <xf numFmtId="10" fontId="4" fillId="0" borderId="22" xfId="0" applyNumberFormat="1" applyFont="1" applyBorder="1" applyAlignment="1">
      <alignment horizontal="center" vertical="center"/>
    </xf>
    <xf numFmtId="10" fontId="4" fillId="0" borderId="15" xfId="0" applyNumberFormat="1" applyFont="1" applyBorder="1" applyAlignment="1">
      <alignment horizontal="center" vertical="center"/>
    </xf>
    <xf numFmtId="0" fontId="4" fillId="41" borderId="12" xfId="0" applyFont="1" applyFill="1" applyBorder="1" applyAlignment="1">
      <alignment/>
    </xf>
    <xf numFmtId="0" fontId="4" fillId="41" borderId="13" xfId="0" applyFont="1" applyFill="1" applyBorder="1" applyAlignment="1">
      <alignment/>
    </xf>
    <xf numFmtId="171" fontId="4" fillId="0" borderId="13" xfId="0" applyNumberFormat="1" applyFont="1" applyBorder="1" applyAlignment="1">
      <alignment/>
    </xf>
    <xf numFmtId="171" fontId="4" fillId="0" borderId="14" xfId="0" applyNumberFormat="1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4" borderId="26" xfId="0" applyFont="1" applyFill="1" applyBorder="1" applyAlignment="1">
      <alignment wrapText="1"/>
    </xf>
    <xf numFmtId="4" fontId="4" fillId="39" borderId="13" xfId="0" applyNumberFormat="1" applyFont="1" applyFill="1" applyBorder="1" applyAlignment="1" applyProtection="1">
      <alignment horizontal="right"/>
      <protection/>
    </xf>
    <xf numFmtId="4" fontId="4" fillId="34" borderId="13" xfId="0" applyNumberFormat="1" applyFont="1" applyFill="1" applyBorder="1" applyAlignment="1" applyProtection="1">
      <alignment horizontal="right"/>
      <protection/>
    </xf>
    <xf numFmtId="4" fontId="11" fillId="34" borderId="13" xfId="0" applyNumberFormat="1" applyFont="1" applyFill="1" applyBorder="1" applyAlignment="1" applyProtection="1">
      <alignment/>
      <protection/>
    </xf>
    <xf numFmtId="4" fontId="4" fillId="39" borderId="13" xfId="0" applyNumberFormat="1" applyFont="1" applyFill="1" applyBorder="1" applyAlignment="1" applyProtection="1">
      <alignment horizontal="right"/>
      <protection locked="0"/>
    </xf>
    <xf numFmtId="171" fontId="4" fillId="0" borderId="13" xfId="0" applyNumberFormat="1" applyFont="1" applyFill="1" applyBorder="1" applyAlignment="1" applyProtection="1">
      <alignment/>
      <protection locked="0"/>
    </xf>
    <xf numFmtId="177" fontId="4" fillId="0" borderId="13" xfId="0" applyNumberFormat="1" applyFont="1" applyFill="1" applyBorder="1" applyAlignment="1" applyProtection="1">
      <alignment/>
      <protection locked="0"/>
    </xf>
    <xf numFmtId="177" fontId="4" fillId="0" borderId="13" xfId="0" applyNumberFormat="1" applyFont="1" applyFill="1" applyBorder="1" applyAlignment="1" applyProtection="1">
      <alignment horizontal="right"/>
      <protection locked="0"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9" borderId="14" xfId="0" applyNumberFormat="1" applyFont="1" applyFill="1" applyBorder="1" applyAlignment="1" applyProtection="1">
      <alignment/>
      <protection/>
    </xf>
    <xf numFmtId="177" fontId="4" fillId="0" borderId="12" xfId="0" applyNumberFormat="1" applyFont="1" applyFill="1" applyBorder="1" applyAlignment="1" applyProtection="1">
      <alignment/>
      <protection locked="0"/>
    </xf>
    <xf numFmtId="177" fontId="4" fillId="34" borderId="14" xfId="0" applyNumberFormat="1" applyFont="1" applyFill="1" applyBorder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 locked="0"/>
    </xf>
    <xf numFmtId="177" fontId="4" fillId="34" borderId="144" xfId="0" applyNumberFormat="1" applyFont="1" applyFill="1" applyBorder="1" applyAlignment="1" applyProtection="1">
      <alignment/>
      <protection/>
    </xf>
    <xf numFmtId="177" fontId="4" fillId="0" borderId="12" xfId="0" applyNumberFormat="1" applyFont="1" applyBorder="1" applyAlignment="1" applyProtection="1">
      <alignment/>
      <protection locked="0"/>
    </xf>
    <xf numFmtId="177" fontId="4" fillId="0" borderId="13" xfId="0" applyNumberFormat="1" applyFont="1" applyBorder="1" applyAlignment="1" applyProtection="1">
      <alignment/>
      <protection locked="0"/>
    </xf>
    <xf numFmtId="177" fontId="4" fillId="0" borderId="14" xfId="0" applyNumberFormat="1" applyFont="1" applyBorder="1" applyAlignment="1" applyProtection="1">
      <alignment/>
      <protection locked="0"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9" borderId="26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/>
    </xf>
    <xf numFmtId="0" fontId="7" fillId="0" borderId="26" xfId="0" applyNumberFormat="1" applyFont="1" applyFill="1" applyBorder="1" applyAlignment="1" applyProtection="1">
      <alignment/>
      <protection locked="0"/>
    </xf>
    <xf numFmtId="4" fontId="19" fillId="0" borderId="14" xfId="0" applyNumberFormat="1" applyFont="1" applyFill="1" applyBorder="1" applyAlignment="1" applyProtection="1">
      <alignment/>
      <protection/>
    </xf>
    <xf numFmtId="4" fontId="19" fillId="0" borderId="26" xfId="0" applyNumberFormat="1" applyFont="1" applyFill="1" applyBorder="1" applyAlignment="1" applyProtection="1">
      <alignment/>
      <protection/>
    </xf>
    <xf numFmtId="10" fontId="18" fillId="0" borderId="2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39" borderId="13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4" borderId="19" xfId="0" applyFont="1" applyFill="1" applyBorder="1" applyAlignment="1">
      <alignment wrapText="1"/>
    </xf>
    <xf numFmtId="0" fontId="4" fillId="34" borderId="17" xfId="0" applyFont="1" applyFill="1" applyBorder="1" applyAlignment="1">
      <alignment wrapText="1"/>
    </xf>
    <xf numFmtId="10" fontId="4" fillId="0" borderId="20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41" borderId="12" xfId="0" applyFont="1" applyFill="1" applyBorder="1" applyAlignment="1">
      <alignment horizontal="center" vertical="center" wrapText="1"/>
    </xf>
    <xf numFmtId="0" fontId="4" fillId="41" borderId="1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7" fillId="39" borderId="11" xfId="0" applyFont="1" applyFill="1" applyBorder="1" applyAlignment="1">
      <alignment horizontal="center"/>
    </xf>
    <xf numFmtId="0" fontId="7" fillId="39" borderId="0" xfId="0" applyFont="1" applyFill="1" applyBorder="1" applyAlignment="1">
      <alignment horizontal="center"/>
    </xf>
    <xf numFmtId="0" fontId="7" fillId="39" borderId="21" xfId="0" applyFont="1" applyFill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center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39" borderId="13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41" borderId="12" xfId="0" applyNumberFormat="1" applyFont="1" applyFill="1" applyBorder="1" applyAlignment="1">
      <alignment horizontal="center" vertical="center" wrapText="1"/>
    </xf>
    <xf numFmtId="4" fontId="4" fillId="41" borderId="13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center" vertical="center" wrapText="1"/>
    </xf>
    <xf numFmtId="4" fontId="18" fillId="0" borderId="21" xfId="0" applyNumberFormat="1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10" fontId="4" fillId="0" borderId="17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 wrapText="1"/>
    </xf>
    <xf numFmtId="10" fontId="4" fillId="0" borderId="17" xfId="0" applyNumberFormat="1" applyFont="1" applyBorder="1" applyAlignment="1">
      <alignment horizontal="center" vertical="center"/>
    </xf>
    <xf numFmtId="10" fontId="4" fillId="41" borderId="20" xfId="0" applyNumberFormat="1" applyFont="1" applyFill="1" applyBorder="1" applyAlignment="1">
      <alignment horizontal="center" vertical="center"/>
    </xf>
    <xf numFmtId="10" fontId="4" fillId="41" borderId="21" xfId="0" applyNumberFormat="1" applyFont="1" applyFill="1" applyBorder="1" applyAlignment="1">
      <alignment horizontal="center" vertical="center"/>
    </xf>
    <xf numFmtId="4" fontId="4" fillId="0" borderId="22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74" xfId="0" applyNumberFormat="1" applyFont="1" applyBorder="1" applyAlignment="1">
      <alignment horizontal="center" vertical="center"/>
    </xf>
    <xf numFmtId="4" fontId="4" fillId="0" borderId="76" xfId="0" applyNumberFormat="1" applyFont="1" applyBorder="1" applyAlignment="1">
      <alignment horizontal="right" vertical="center" wrapText="1"/>
    </xf>
    <xf numFmtId="4" fontId="4" fillId="39" borderId="76" xfId="0" applyNumberFormat="1" applyFont="1" applyFill="1" applyBorder="1" applyAlignment="1">
      <alignment horizontal="right" vertical="center" wrapText="1"/>
    </xf>
    <xf numFmtId="4" fontId="4" fillId="0" borderId="102" xfId="0" applyNumberFormat="1" applyFont="1" applyBorder="1" applyAlignment="1">
      <alignment horizontal="right" vertical="center" wrapText="1"/>
    </xf>
    <xf numFmtId="4" fontId="4" fillId="0" borderId="118" xfId="0" applyNumberFormat="1" applyFont="1" applyFill="1" applyBorder="1" applyAlignment="1">
      <alignment horizontal="right" vertical="center" wrapText="1"/>
    </xf>
    <xf numFmtId="4" fontId="4" fillId="0" borderId="74" xfId="0" applyNumberFormat="1" applyFont="1" applyFill="1" applyBorder="1" applyAlignment="1">
      <alignment horizontal="right" vertical="center" wrapText="1"/>
    </xf>
    <xf numFmtId="4" fontId="4" fillId="0" borderId="76" xfId="0" applyNumberFormat="1" applyFont="1" applyFill="1" applyBorder="1" applyAlignment="1">
      <alignment horizontal="right" vertical="center" wrapText="1"/>
    </xf>
    <xf numFmtId="4" fontId="4" fillId="0" borderId="74" xfId="0" applyNumberFormat="1" applyFont="1" applyBorder="1" applyAlignment="1">
      <alignment horizontal="right" vertical="center" wrapText="1"/>
    </xf>
    <xf numFmtId="4" fontId="4" fillId="0" borderId="118" xfId="0" applyNumberFormat="1" applyFont="1" applyBorder="1" applyAlignment="1">
      <alignment horizontal="right" vertical="center" wrapText="1"/>
    </xf>
    <xf numFmtId="4" fontId="4" fillId="41" borderId="74" xfId="0" applyNumberFormat="1" applyFont="1" applyFill="1" applyBorder="1" applyAlignment="1">
      <alignment horizontal="right" vertical="center" wrapText="1"/>
    </xf>
    <xf numFmtId="4" fontId="4" fillId="41" borderId="76" xfId="0" applyNumberFormat="1" applyFont="1" applyFill="1" applyBorder="1" applyAlignment="1">
      <alignment horizontal="right" vertical="center" wrapText="1"/>
    </xf>
    <xf numFmtId="4" fontId="18" fillId="0" borderId="76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39" borderId="11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34" borderId="18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41" borderId="10" xfId="0" applyFont="1" applyFill="1" applyBorder="1" applyAlignment="1">
      <alignment vertical="center" wrapText="1"/>
    </xf>
    <xf numFmtId="0" fontId="4" fillId="41" borderId="11" xfId="0" applyFont="1" applyFill="1" applyBorder="1" applyAlignment="1">
      <alignment vertical="center" wrapText="1"/>
    </xf>
    <xf numFmtId="0" fontId="4" fillId="34" borderId="18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4" fillId="0" borderId="15" xfId="0" applyNumberFormat="1" applyFont="1" applyBorder="1" applyAlignment="1">
      <alignment horizontal="right" vertical="center" wrapText="1"/>
    </xf>
    <xf numFmtId="4" fontId="4" fillId="0" borderId="145" xfId="0" applyNumberFormat="1" applyFont="1" applyBorder="1" applyAlignment="1">
      <alignment horizontal="center" vertical="center"/>
    </xf>
    <xf numFmtId="4" fontId="4" fillId="0" borderId="146" xfId="0" applyNumberFormat="1" applyFont="1" applyBorder="1" applyAlignment="1">
      <alignment horizontal="right" vertical="center" wrapText="1"/>
    </xf>
    <xf numFmtId="4" fontId="4" fillId="39" borderId="146" xfId="0" applyNumberFormat="1" applyFont="1" applyFill="1" applyBorder="1" applyAlignment="1">
      <alignment horizontal="right" vertical="center" wrapText="1"/>
    </xf>
    <xf numFmtId="4" fontId="4" fillId="0" borderId="147" xfId="0" applyNumberFormat="1" applyFont="1" applyFill="1" applyBorder="1" applyAlignment="1">
      <alignment horizontal="right" vertical="center" wrapText="1"/>
    </xf>
    <xf numFmtId="4" fontId="4" fillId="0" borderId="145" xfId="0" applyNumberFormat="1" applyFont="1" applyFill="1" applyBorder="1" applyAlignment="1">
      <alignment horizontal="right" vertical="center" wrapText="1"/>
    </xf>
    <xf numFmtId="4" fontId="4" fillId="0" borderId="146" xfId="0" applyNumberFormat="1" applyFont="1" applyFill="1" applyBorder="1" applyAlignment="1">
      <alignment horizontal="right" vertical="center" wrapText="1"/>
    </xf>
    <xf numFmtId="4" fontId="4" fillId="0" borderId="148" xfId="0" applyNumberFormat="1" applyFont="1" applyBorder="1" applyAlignment="1">
      <alignment horizontal="right" vertical="center" wrapText="1"/>
    </xf>
    <xf numFmtId="4" fontId="4" fillId="0" borderId="145" xfId="0" applyNumberFormat="1" applyFont="1" applyBorder="1" applyAlignment="1">
      <alignment horizontal="right" vertical="center" wrapText="1"/>
    </xf>
    <xf numFmtId="4" fontId="4" fillId="0" borderId="147" xfId="0" applyNumberFormat="1" applyFont="1" applyBorder="1" applyAlignment="1">
      <alignment horizontal="right" vertical="center" wrapText="1"/>
    </xf>
    <xf numFmtId="4" fontId="4" fillId="41" borderId="145" xfId="0" applyNumberFormat="1" applyFont="1" applyFill="1" applyBorder="1" applyAlignment="1">
      <alignment horizontal="right" vertical="center" wrapText="1"/>
    </xf>
    <xf numFmtId="4" fontId="4" fillId="41" borderId="146" xfId="0" applyNumberFormat="1" applyFont="1" applyFill="1" applyBorder="1" applyAlignment="1">
      <alignment horizontal="right" vertical="center" wrapText="1"/>
    </xf>
    <xf numFmtId="4" fontId="18" fillId="0" borderId="146" xfId="0" applyNumberFormat="1" applyFont="1" applyBorder="1" applyAlignment="1">
      <alignment horizontal="righ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34" borderId="19" xfId="0" applyFont="1" applyFill="1" applyBorder="1" applyAlignment="1">
      <alignment vertical="center" wrapText="1"/>
    </xf>
    <xf numFmtId="0" fontId="4" fillId="34" borderId="17" xfId="0" applyFont="1" applyFill="1" applyBorder="1" applyAlignment="1">
      <alignment vertical="center" wrapText="1"/>
    </xf>
    <xf numFmtId="171" fontId="4" fillId="0" borderId="12" xfId="0" applyNumberFormat="1" applyFont="1" applyBorder="1" applyAlignment="1">
      <alignment horizontal="center" vertical="center"/>
    </xf>
    <xf numFmtId="171" fontId="4" fillId="0" borderId="13" xfId="0" applyNumberFormat="1" applyFont="1" applyBorder="1" applyAlignment="1">
      <alignment horizontal="center" vertical="center"/>
    </xf>
    <xf numFmtId="10" fontId="4" fillId="0" borderId="13" xfId="0" applyNumberFormat="1" applyFont="1" applyBorder="1" applyAlignment="1">
      <alignment horizontal="center" vertical="center"/>
    </xf>
    <xf numFmtId="171" fontId="4" fillId="0" borderId="14" xfId="0" applyNumberFormat="1" applyFont="1" applyBorder="1" applyAlignment="1">
      <alignment horizontal="center" vertical="center"/>
    </xf>
    <xf numFmtId="0" fontId="4" fillId="34" borderId="2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41" borderId="12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vertical="center" wrapText="1"/>
    </xf>
    <xf numFmtId="4" fontId="4" fillId="39" borderId="0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 quotePrefix="1">
      <alignment horizontal="center"/>
    </xf>
    <xf numFmtId="0" fontId="4" fillId="34" borderId="23" xfId="0" applyFont="1" applyFill="1" applyBorder="1" applyAlignment="1">
      <alignment vertical="center" wrapText="1"/>
    </xf>
    <xf numFmtId="4" fontId="4" fillId="39" borderId="21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/>
    </xf>
    <xf numFmtId="0" fontId="4" fillId="41" borderId="14" xfId="0" applyFont="1" applyFill="1" applyBorder="1" applyAlignment="1">
      <alignment horizontal="left" vertical="center" wrapText="1"/>
    </xf>
    <xf numFmtId="4" fontId="4" fillId="41" borderId="20" xfId="0" applyNumberFormat="1" applyFont="1" applyFill="1" applyBorder="1" applyAlignment="1">
      <alignment horizontal="center" vertical="center" wrapText="1"/>
    </xf>
    <xf numFmtId="4" fontId="4" fillId="41" borderId="21" xfId="0" applyNumberFormat="1" applyFont="1" applyFill="1" applyBorder="1" applyAlignment="1">
      <alignment horizontal="center" vertical="center" wrapText="1"/>
    </xf>
    <xf numFmtId="10" fontId="4" fillId="0" borderId="14" xfId="0" applyNumberFormat="1" applyFont="1" applyBorder="1" applyAlignment="1">
      <alignment horizontal="center" vertical="center"/>
    </xf>
    <xf numFmtId="0" fontId="4" fillId="39" borderId="13" xfId="0" applyFont="1" applyFill="1" applyBorder="1" applyAlignment="1">
      <alignment vertical="center" wrapText="1"/>
    </xf>
    <xf numFmtId="0" fontId="7" fillId="35" borderId="26" xfId="0" applyNumberFormat="1" applyFont="1" applyFill="1" applyBorder="1" applyAlignment="1" applyProtection="1">
      <alignment/>
      <protection locked="0"/>
    </xf>
    <xf numFmtId="0" fontId="7" fillId="41" borderId="17" xfId="0" applyNumberFormat="1" applyFont="1" applyFill="1" applyBorder="1" applyAlignment="1" applyProtection="1">
      <alignment horizontal="center"/>
      <protection locked="0"/>
    </xf>
    <xf numFmtId="0" fontId="7" fillId="41" borderId="26" xfId="0" applyNumberFormat="1" applyFont="1" applyFill="1" applyBorder="1" applyAlignment="1" applyProtection="1">
      <alignment horizontal="center"/>
      <protection locked="0"/>
    </xf>
    <xf numFmtId="0" fontId="21" fillId="0" borderId="11" xfId="0" applyNumberFormat="1" applyFont="1" applyFill="1" applyBorder="1" applyAlignment="1" applyProtection="1">
      <alignment horizontal="center"/>
      <protection locked="0"/>
    </xf>
    <xf numFmtId="4" fontId="4" fillId="0" borderId="21" xfId="0" applyNumberFormat="1" applyFont="1" applyFill="1" applyBorder="1" applyAlignment="1" applyProtection="1">
      <alignment horizontal="center"/>
      <protection locked="0"/>
    </xf>
    <xf numFmtId="4" fontId="4" fillId="0" borderId="13" xfId="0" applyNumberFormat="1" applyFont="1" applyFill="1" applyBorder="1" applyAlignment="1" applyProtection="1">
      <alignment horizontal="center"/>
      <protection locked="0"/>
    </xf>
    <xf numFmtId="4" fontId="4" fillId="41" borderId="23" xfId="0" applyNumberFormat="1" applyFont="1" applyFill="1" applyBorder="1" applyAlignment="1" applyProtection="1">
      <alignment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4" fontId="4" fillId="41" borderId="14" xfId="0" applyNumberFormat="1" applyFont="1" applyFill="1" applyBorder="1" applyAlignment="1" applyProtection="1">
      <alignment/>
      <protection locked="0"/>
    </xf>
    <xf numFmtId="4" fontId="4" fillId="33" borderId="26" xfId="0" applyNumberFormat="1" applyFont="1" applyFill="1" applyBorder="1" applyAlignment="1" applyProtection="1">
      <alignment/>
      <protection locked="0"/>
    </xf>
    <xf numFmtId="4" fontId="4" fillId="41" borderId="13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4" fillId="0" borderId="15" xfId="0" applyNumberFormat="1" applyFont="1" applyFill="1" applyBorder="1" applyAlignment="1" applyProtection="1">
      <alignment horizontal="left"/>
      <protection locked="0"/>
    </xf>
    <xf numFmtId="0" fontId="4" fillId="0" borderId="59" xfId="0" applyNumberFormat="1" applyFont="1" applyFill="1" applyBorder="1" applyAlignment="1" applyProtection="1">
      <alignment/>
      <protection locked="0"/>
    </xf>
    <xf numFmtId="0" fontId="4" fillId="0" borderId="25" xfId="0" applyNumberFormat="1" applyFont="1" applyFill="1" applyBorder="1" applyAlignment="1" applyProtection="1">
      <alignment/>
      <protection locked="0"/>
    </xf>
    <xf numFmtId="0" fontId="4" fillId="0" borderId="30" xfId="0" applyNumberFormat="1" applyFont="1" applyFill="1" applyBorder="1" applyAlignment="1" applyProtection="1">
      <alignment/>
      <protection locked="0"/>
    </xf>
    <xf numFmtId="0" fontId="4" fillId="0" borderId="86" xfId="0" applyNumberFormat="1" applyFont="1" applyFill="1" applyBorder="1" applyAlignment="1" applyProtection="1">
      <alignment/>
      <protection locked="0"/>
    </xf>
    <xf numFmtId="0" fontId="4" fillId="0" borderId="27" xfId="0" applyNumberFormat="1" applyFont="1" applyFill="1" applyBorder="1" applyAlignment="1" applyProtection="1">
      <alignment/>
      <protection locked="0"/>
    </xf>
    <xf numFmtId="0" fontId="4" fillId="0" borderId="85" xfId="0" applyNumberFormat="1" applyFont="1" applyFill="1" applyBorder="1" applyAlignment="1" applyProtection="1">
      <alignment/>
      <protection locked="0"/>
    </xf>
    <xf numFmtId="0" fontId="4" fillId="0" borderId="24" xfId="0" applyNumberFormat="1" applyFont="1" applyFill="1" applyBorder="1" applyAlignment="1" applyProtection="1">
      <alignment/>
      <protection locked="0"/>
    </xf>
    <xf numFmtId="0" fontId="4" fillId="0" borderId="84" xfId="0" applyNumberFormat="1" applyFont="1" applyFill="1" applyBorder="1" applyAlignment="1" applyProtection="1">
      <alignment/>
      <protection locked="0"/>
    </xf>
    <xf numFmtId="0" fontId="4" fillId="0" borderId="29" xfId="0" applyNumberFormat="1" applyFont="1" applyFill="1" applyBorder="1" applyAlignment="1" applyProtection="1">
      <alignment/>
      <protection locked="0"/>
    </xf>
    <xf numFmtId="0" fontId="4" fillId="0" borderId="142" xfId="0" applyNumberFormat="1" applyFont="1" applyFill="1" applyBorder="1" applyAlignment="1" applyProtection="1">
      <alignment/>
      <protection locked="0"/>
    </xf>
    <xf numFmtId="0" fontId="4" fillId="0" borderId="16" xfId="0" applyNumberFormat="1" applyFont="1" applyFill="1" applyBorder="1" applyAlignment="1" applyProtection="1">
      <alignment horizontal="left"/>
      <protection locked="0"/>
    </xf>
    <xf numFmtId="0" fontId="4" fillId="0" borderId="22" xfId="0" applyNumberFormat="1" applyFont="1" applyFill="1" applyBorder="1" applyAlignment="1" applyProtection="1">
      <alignment horizontal="left"/>
      <protection locked="0"/>
    </xf>
    <xf numFmtId="0" fontId="4" fillId="0" borderId="22" xfId="0" applyNumberFormat="1" applyFont="1" applyFill="1" applyBorder="1" applyAlignment="1" applyProtection="1">
      <alignment/>
      <protection locked="0"/>
    </xf>
    <xf numFmtId="4" fontId="4" fillId="33" borderId="112" xfId="0" applyNumberFormat="1" applyFont="1" applyFill="1" applyBorder="1" applyAlignment="1" applyProtection="1">
      <alignment/>
      <protection locked="0"/>
    </xf>
    <xf numFmtId="4" fontId="4" fillId="33" borderId="84" xfId="0" applyNumberFormat="1" applyFont="1" applyFill="1" applyBorder="1" applyAlignment="1" applyProtection="1">
      <alignment/>
      <protection locked="0"/>
    </xf>
    <xf numFmtId="4" fontId="4" fillId="34" borderId="114" xfId="0" applyNumberFormat="1" applyFont="1" applyFill="1" applyBorder="1" applyAlignment="1" applyProtection="1">
      <alignment/>
      <protection locked="0"/>
    </xf>
    <xf numFmtId="0" fontId="4" fillId="0" borderId="16" xfId="0" applyNumberFormat="1" applyFont="1" applyFill="1" applyBorder="1" applyAlignment="1" applyProtection="1">
      <alignment/>
      <protection locked="0"/>
    </xf>
    <xf numFmtId="4" fontId="4" fillId="33" borderId="14" xfId="0" applyNumberFormat="1" applyFont="1" applyFill="1" applyBorder="1" applyAlignment="1" applyProtection="1">
      <alignment/>
      <protection locked="0"/>
    </xf>
    <xf numFmtId="4" fontId="4" fillId="33" borderId="23" xfId="0" applyNumberFormat="1" applyFont="1" applyFill="1" applyBorder="1" applyAlignment="1" applyProtection="1">
      <alignment/>
      <protection locked="0"/>
    </xf>
    <xf numFmtId="0" fontId="4" fillId="33" borderId="26" xfId="0" applyNumberFormat="1" applyFont="1" applyFill="1" applyBorder="1" applyAlignment="1" applyProtection="1">
      <alignment/>
      <protection locked="0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0" fontId="8" fillId="0" borderId="15" xfId="0" applyNumberFormat="1" applyFont="1" applyFill="1" applyBorder="1" applyAlignment="1" applyProtection="1">
      <alignment horizontal="center"/>
      <protection locked="0"/>
    </xf>
    <xf numFmtId="4" fontId="18" fillId="0" borderId="15" xfId="0" applyNumberFormat="1" applyFont="1" applyFill="1" applyBorder="1" applyAlignment="1" applyProtection="1">
      <alignment/>
      <protection locked="0"/>
    </xf>
    <xf numFmtId="4" fontId="18" fillId="0" borderId="20" xfId="0" applyNumberFormat="1" applyFont="1" applyFill="1" applyBorder="1" applyAlignment="1" applyProtection="1">
      <alignment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8" fillId="0" borderId="11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4" fontId="18" fillId="0" borderId="0" xfId="0" applyNumberFormat="1" applyFont="1" applyFill="1" applyBorder="1" applyAlignment="1" applyProtection="1">
      <alignment/>
      <protection locked="0"/>
    </xf>
    <xf numFmtId="4" fontId="18" fillId="0" borderId="21" xfId="0" applyNumberFormat="1" applyFont="1" applyFill="1" applyBorder="1" applyAlignment="1" applyProtection="1">
      <alignment/>
      <protection locked="0"/>
    </xf>
    <xf numFmtId="0" fontId="8" fillId="0" borderId="16" xfId="0" applyNumberFormat="1" applyFont="1" applyFill="1" applyBorder="1" applyAlignment="1" applyProtection="1">
      <alignment horizontal="center"/>
      <protection locked="0"/>
    </xf>
    <xf numFmtId="0" fontId="8" fillId="0" borderId="22" xfId="0" applyNumberFormat="1" applyFont="1" applyFill="1" applyBorder="1" applyAlignment="1" applyProtection="1">
      <alignment horizontal="center"/>
      <protection locked="0"/>
    </xf>
    <xf numFmtId="4" fontId="18" fillId="0" borderId="22" xfId="0" applyNumberFormat="1" applyFont="1" applyFill="1" applyBorder="1" applyAlignment="1" applyProtection="1">
      <alignment/>
      <protection locked="0"/>
    </xf>
    <xf numFmtId="4" fontId="18" fillId="0" borderId="23" xfId="0" applyNumberFormat="1" applyFont="1" applyFill="1" applyBorder="1" applyAlignment="1" applyProtection="1">
      <alignment/>
      <protection locked="0"/>
    </xf>
    <xf numFmtId="0" fontId="21" fillId="34" borderId="12" xfId="0" applyNumberFormat="1" applyFont="1" applyFill="1" applyBorder="1" applyAlignment="1" applyProtection="1">
      <alignment horizontal="center" vertical="center" wrapText="1"/>
      <protection locked="0"/>
    </xf>
    <xf numFmtId="4" fontId="4" fillId="34" borderId="12" xfId="0" applyNumberFormat="1" applyFont="1" applyFill="1" applyBorder="1" applyAlignment="1" applyProtection="1">
      <alignment/>
      <protection locked="0"/>
    </xf>
    <xf numFmtId="0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34" borderId="13" xfId="0" applyNumberFormat="1" applyFont="1" applyFill="1" applyBorder="1" applyAlignment="1" applyProtection="1">
      <alignment horizontal="center" vertical="center" wrapText="1"/>
      <protection locked="0"/>
    </xf>
    <xf numFmtId="4" fontId="4" fillId="34" borderId="13" xfId="0" applyNumberFormat="1" applyFont="1" applyFill="1" applyBorder="1" applyAlignment="1" applyProtection="1">
      <alignment/>
      <protection locked="0"/>
    </xf>
    <xf numFmtId="0" fontId="21" fillId="0" borderId="10" xfId="0" applyFont="1" applyBorder="1" applyAlignment="1">
      <alignment horizontal="center" vertical="center" wrapText="1"/>
    </xf>
    <xf numFmtId="0" fontId="4" fillId="33" borderId="17" xfId="0" applyNumberFormat="1" applyFont="1" applyFill="1" applyBorder="1" applyAlignment="1" applyProtection="1">
      <alignment/>
      <protection locked="0"/>
    </xf>
    <xf numFmtId="0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7" xfId="0" applyNumberFormat="1" applyFont="1" applyFill="1" applyBorder="1" applyAlignment="1" applyProtection="1">
      <alignment/>
      <protection locked="0"/>
    </xf>
    <xf numFmtId="4" fontId="4" fillId="0" borderId="24" xfId="0" applyNumberFormat="1" applyFont="1" applyFill="1" applyBorder="1" applyAlignment="1" applyProtection="1">
      <alignment/>
      <protection locked="0"/>
    </xf>
    <xf numFmtId="0" fontId="4" fillId="0" borderId="27" xfId="0" applyFont="1" applyBorder="1" applyAlignment="1">
      <alignment horizontal="left"/>
    </xf>
    <xf numFmtId="4" fontId="4" fillId="0" borderId="27" xfId="0" applyNumberFormat="1" applyFont="1" applyFill="1" applyBorder="1" applyAlignment="1" applyProtection="1">
      <alignment/>
      <protection locked="0"/>
    </xf>
    <xf numFmtId="0" fontId="4" fillId="0" borderId="27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" fontId="21" fillId="0" borderId="13" xfId="0" applyNumberFormat="1" applyFont="1" applyFill="1" applyBorder="1" applyAlignment="1" applyProtection="1">
      <alignment/>
      <protection locked="0"/>
    </xf>
    <xf numFmtId="0" fontId="4" fillId="0" borderId="16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21" fillId="0" borderId="14" xfId="0" applyNumberFormat="1" applyFont="1" applyFill="1" applyBorder="1" applyAlignment="1" applyProtection="1">
      <alignment wrapText="1"/>
      <protection locked="0"/>
    </xf>
    <xf numFmtId="4" fontId="21" fillId="0" borderId="0" xfId="0" applyNumberFormat="1" applyFont="1" applyFill="1" applyBorder="1" applyAlignment="1" applyProtection="1">
      <alignment/>
      <protection locked="0"/>
    </xf>
    <xf numFmtId="4" fontId="21" fillId="0" borderId="21" xfId="0" applyNumberFormat="1" applyFont="1" applyFill="1" applyBorder="1" applyAlignment="1" applyProtection="1">
      <alignment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4" fontId="21" fillId="0" borderId="16" xfId="0" applyNumberFormat="1" applyFont="1" applyFill="1" applyBorder="1" applyAlignment="1" applyProtection="1">
      <alignment horizontal="center" wrapText="1"/>
      <protection locked="0"/>
    </xf>
    <xf numFmtId="4" fontId="21" fillId="0" borderId="23" xfId="0" applyNumberFormat="1" applyFont="1" applyFill="1" applyBorder="1" applyAlignment="1" applyProtection="1">
      <alignment horizontal="center" wrapText="1"/>
      <protection locked="0"/>
    </xf>
    <xf numFmtId="0" fontId="21" fillId="0" borderId="14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4" fontId="4" fillId="0" borderId="20" xfId="0" applyNumberFormat="1" applyFont="1" applyFill="1" applyBorder="1" applyAlignment="1" applyProtection="1">
      <alignment horizontal="left"/>
      <protection locked="0"/>
    </xf>
    <xf numFmtId="4" fontId="4" fillId="0" borderId="21" xfId="0" applyNumberFormat="1" applyFont="1" applyFill="1" applyBorder="1" applyAlignment="1" applyProtection="1">
      <alignment horizontal="left"/>
      <protection locked="0"/>
    </xf>
    <xf numFmtId="4" fontId="4" fillId="0" borderId="21" xfId="0" applyNumberFormat="1" applyFont="1" applyBorder="1" applyAlignment="1">
      <alignment horizontal="left"/>
    </xf>
    <xf numFmtId="4" fontId="4" fillId="0" borderId="21" xfId="0" applyNumberFormat="1" applyFont="1" applyBorder="1" applyAlignment="1">
      <alignment/>
    </xf>
    <xf numFmtId="0" fontId="4" fillId="0" borderId="13" xfId="0" applyFont="1" applyBorder="1" applyAlignment="1">
      <alignment/>
    </xf>
    <xf numFmtId="4" fontId="4" fillId="0" borderId="23" xfId="0" applyNumberFormat="1" applyFont="1" applyFill="1" applyBorder="1" applyAlignment="1" applyProtection="1">
      <alignment horizontal="left"/>
      <protection locked="0"/>
    </xf>
    <xf numFmtId="0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" fontId="4" fillId="39" borderId="14" xfId="0" applyNumberFormat="1" applyFont="1" applyFill="1" applyBorder="1" applyAlignment="1" applyProtection="1">
      <alignment/>
      <protection locked="0"/>
    </xf>
    <xf numFmtId="4" fontId="4" fillId="39" borderId="12" xfId="0" applyNumberFormat="1" applyFont="1" applyFill="1" applyBorder="1" applyAlignment="1" applyProtection="1">
      <alignment/>
      <protection locked="0"/>
    </xf>
    <xf numFmtId="4" fontId="4" fillId="42" borderId="26" xfId="0" applyNumberFormat="1" applyFont="1" applyFill="1" applyBorder="1" applyAlignment="1" applyProtection="1">
      <alignment/>
      <protection locked="0"/>
    </xf>
    <xf numFmtId="4" fontId="4" fillId="36" borderId="26" xfId="0" applyNumberFormat="1" applyFont="1" applyFill="1" applyBorder="1" applyAlignment="1" applyProtection="1">
      <alignment/>
      <protection locked="0"/>
    </xf>
    <xf numFmtId="0" fontId="11" fillId="0" borderId="13" xfId="0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11" fillId="0" borderId="13" xfId="0" applyNumberFormat="1" applyFont="1" applyFill="1" applyBorder="1" applyAlignment="1">
      <alignment/>
    </xf>
    <xf numFmtId="0" fontId="11" fillId="0" borderId="13" xfId="0" applyFont="1" applyBorder="1" applyAlignment="1">
      <alignment/>
    </xf>
    <xf numFmtId="0" fontId="0" fillId="39" borderId="15" xfId="0" applyFill="1" applyBorder="1" applyAlignment="1">
      <alignment horizontal="center"/>
    </xf>
    <xf numFmtId="4" fontId="0" fillId="39" borderId="18" xfId="0" applyNumberFormat="1" applyFill="1" applyBorder="1" applyAlignment="1">
      <alignment horizontal="center"/>
    </xf>
    <xf numFmtId="4" fontId="0" fillId="39" borderId="19" xfId="0" applyNumberFormat="1" applyFill="1" applyBorder="1" applyAlignment="1">
      <alignment horizontal="center"/>
    </xf>
    <xf numFmtId="4" fontId="0" fillId="39" borderId="17" xfId="0" applyNumberFormat="1" applyFill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1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40" borderId="18" xfId="0" applyFont="1" applyFill="1" applyBorder="1" applyAlignment="1">
      <alignment horizontal="right" wrapText="1"/>
    </xf>
    <xf numFmtId="0" fontId="4" fillId="40" borderId="19" xfId="0" applyFont="1" applyFill="1" applyBorder="1" applyAlignment="1">
      <alignment horizontal="right" wrapText="1"/>
    </xf>
    <xf numFmtId="4" fontId="4" fillId="34" borderId="16" xfId="0" applyNumberFormat="1" applyFont="1" applyFill="1" applyBorder="1" applyAlignment="1">
      <alignment horizontal="center"/>
    </xf>
    <xf numFmtId="4" fontId="4" fillId="34" borderId="23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43" borderId="16" xfId="0" applyFont="1" applyFill="1" applyBorder="1" applyAlignment="1">
      <alignment horizontal="center"/>
    </xf>
    <xf numFmtId="0" fontId="4" fillId="43" borderId="23" xfId="0" applyFont="1" applyFill="1" applyBorder="1" applyAlignment="1">
      <alignment horizontal="center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0" fillId="0" borderId="14" xfId="0" applyNumberFormat="1" applyBorder="1" applyAlignment="1">
      <alignment/>
    </xf>
    <xf numFmtId="0" fontId="4" fillId="40" borderId="18" xfId="0" applyFont="1" applyFill="1" applyBorder="1" applyAlignment="1">
      <alignment horizontal="center" wrapText="1"/>
    </xf>
    <xf numFmtId="0" fontId="4" fillId="40" borderId="19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7" fillId="39" borderId="18" xfId="0" applyFont="1" applyFill="1" applyBorder="1" applyAlignment="1">
      <alignment horizontal="center" wrapText="1"/>
    </xf>
    <xf numFmtId="0" fontId="7" fillId="39" borderId="19" xfId="0" applyFont="1" applyFill="1" applyBorder="1" applyAlignment="1">
      <alignment horizontal="center" wrapText="1"/>
    </xf>
    <xf numFmtId="0" fontId="7" fillId="39" borderId="17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center" wrapText="1"/>
    </xf>
    <xf numFmtId="0" fontId="4" fillId="34" borderId="19" xfId="0" applyFont="1" applyFill="1" applyBorder="1" applyAlignment="1">
      <alignment horizontal="center" wrapText="1"/>
    </xf>
    <xf numFmtId="0" fontId="4" fillId="34" borderId="17" xfId="0" applyFont="1" applyFill="1" applyBorder="1" applyAlignment="1">
      <alignment horizontal="center" wrapText="1"/>
    </xf>
    <xf numFmtId="4" fontId="4" fillId="0" borderId="57" xfId="0" applyNumberFormat="1" applyFont="1" applyBorder="1" applyAlignment="1">
      <alignment horizontal="left" wrapText="1"/>
    </xf>
    <xf numFmtId="4" fontId="4" fillId="0" borderId="0" xfId="0" applyNumberFormat="1" applyFont="1" applyBorder="1" applyAlignment="1">
      <alignment horizontal="left" wrapText="1"/>
    </xf>
    <xf numFmtId="4" fontId="4" fillId="0" borderId="21" xfId="0" applyNumberFormat="1" applyFont="1" applyBorder="1" applyAlignment="1">
      <alignment horizontal="left" wrapText="1"/>
    </xf>
    <xf numFmtId="0" fontId="4" fillId="34" borderId="57" xfId="0" applyNumberFormat="1" applyFont="1" applyFill="1" applyBorder="1" applyAlignment="1" applyProtection="1">
      <alignment horizontal="left"/>
      <protection locked="0"/>
    </xf>
    <xf numFmtId="0" fontId="4" fillId="34" borderId="0" xfId="0" applyNumberFormat="1" applyFont="1" applyFill="1" applyBorder="1" applyAlignment="1" applyProtection="1">
      <alignment horizontal="left"/>
      <protection locked="0"/>
    </xf>
    <xf numFmtId="0" fontId="4" fillId="0" borderId="93" xfId="0" applyNumberFormat="1" applyFont="1" applyFill="1" applyBorder="1" applyAlignment="1" applyProtection="1">
      <alignment horizontal="left"/>
      <protection locked="0"/>
    </xf>
    <xf numFmtId="0" fontId="4" fillId="0" borderId="50" xfId="0" applyNumberFormat="1" applyFont="1" applyFill="1" applyBorder="1" applyAlignment="1" applyProtection="1">
      <alignment horizontal="left"/>
      <protection locked="0"/>
    </xf>
    <xf numFmtId="0" fontId="4" fillId="0" borderId="71" xfId="0" applyNumberFormat="1" applyFont="1" applyFill="1" applyBorder="1" applyAlignment="1" applyProtection="1">
      <alignment horizontal="left"/>
      <protection locked="0"/>
    </xf>
    <xf numFmtId="4" fontId="4" fillId="0" borderId="58" xfId="0" applyNumberFormat="1" applyFont="1" applyBorder="1" applyAlignment="1">
      <alignment horizontal="center" vertical="center"/>
    </xf>
    <xf numFmtId="4" fontId="4" fillId="0" borderId="53" xfId="0" applyNumberFormat="1" applyFont="1" applyBorder="1" applyAlignment="1">
      <alignment horizontal="center" vertical="center"/>
    </xf>
    <xf numFmtId="4" fontId="4" fillId="0" borderId="58" xfId="0" applyNumberFormat="1" applyFont="1" applyBorder="1" applyAlignment="1">
      <alignment horizontal="right"/>
    </xf>
    <xf numFmtId="4" fontId="4" fillId="0" borderId="53" xfId="0" applyNumberFormat="1" applyFont="1" applyBorder="1" applyAlignment="1">
      <alignment horizontal="right"/>
    </xf>
    <xf numFmtId="4" fontId="4" fillId="0" borderId="65" xfId="0" applyNumberFormat="1" applyFont="1" applyBorder="1" applyAlignment="1">
      <alignment horizontal="center"/>
    </xf>
    <xf numFmtId="4" fontId="4" fillId="0" borderId="66" xfId="0" applyNumberFormat="1" applyFont="1" applyBorder="1" applyAlignment="1">
      <alignment horizontal="center"/>
    </xf>
    <xf numFmtId="177" fontId="4" fillId="34" borderId="57" xfId="0" applyNumberFormat="1" applyFont="1" applyFill="1" applyBorder="1" applyAlignment="1" applyProtection="1">
      <alignment horizontal="center"/>
      <protection locked="0"/>
    </xf>
    <xf numFmtId="177" fontId="4" fillId="34" borderId="0" xfId="0" applyNumberFormat="1" applyFont="1" applyFill="1" applyBorder="1" applyAlignment="1" applyProtection="1">
      <alignment horizontal="center"/>
      <protection locked="0"/>
    </xf>
    <xf numFmtId="4" fontId="4" fillId="0" borderId="16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92" xfId="0" applyNumberFormat="1" applyFont="1" applyBorder="1" applyAlignment="1">
      <alignment horizontal="center" vertical="center"/>
    </xf>
    <xf numFmtId="4" fontId="4" fillId="0" borderId="71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69" xfId="0" applyNumberFormat="1" applyFont="1" applyBorder="1" applyAlignment="1">
      <alignment horizontal="left" wrapText="1"/>
    </xf>
    <xf numFmtId="4" fontId="4" fillId="0" borderId="55" xfId="0" applyNumberFormat="1" applyFont="1" applyBorder="1" applyAlignment="1">
      <alignment horizontal="left" wrapText="1"/>
    </xf>
    <xf numFmtId="4" fontId="4" fillId="0" borderId="149" xfId="0" applyNumberFormat="1" applyFont="1" applyBorder="1" applyAlignment="1">
      <alignment horizontal="center" wrapText="1"/>
    </xf>
    <xf numFmtId="4" fontId="4" fillId="0" borderId="120" xfId="0" applyNumberFormat="1" applyFont="1" applyBorder="1" applyAlignment="1">
      <alignment horizontal="center" wrapText="1"/>
    </xf>
    <xf numFmtId="4" fontId="4" fillId="0" borderId="58" xfId="0" applyNumberFormat="1" applyFont="1" applyBorder="1" applyAlignment="1">
      <alignment wrapText="1"/>
    </xf>
    <xf numFmtId="4" fontId="4" fillId="0" borderId="53" xfId="0" applyNumberFormat="1" applyFont="1" applyBorder="1" applyAlignment="1">
      <alignment wrapText="1"/>
    </xf>
    <xf numFmtId="4" fontId="4" fillId="0" borderId="150" xfId="0" applyNumberFormat="1" applyFont="1" applyBorder="1" applyAlignment="1">
      <alignment horizontal="center" wrapText="1"/>
    </xf>
    <xf numFmtId="4" fontId="13" fillId="0" borderId="89" xfId="0" applyNumberFormat="1" applyFont="1" applyBorder="1" applyAlignment="1">
      <alignment horizontal="center"/>
    </xf>
    <xf numFmtId="4" fontId="13" fillId="0" borderId="55" xfId="0" applyNumberFormat="1" applyFont="1" applyBorder="1" applyAlignment="1">
      <alignment horizontal="center"/>
    </xf>
    <xf numFmtId="4" fontId="13" fillId="0" borderId="62" xfId="0" applyNumberFormat="1" applyFont="1" applyBorder="1" applyAlignment="1">
      <alignment horizontal="center"/>
    </xf>
    <xf numFmtId="4" fontId="13" fillId="0" borderId="63" xfId="0" applyNumberFormat="1" applyFont="1" applyBorder="1" applyAlignment="1">
      <alignment horizontal="center"/>
    </xf>
    <xf numFmtId="177" fontId="4" fillId="34" borderId="57" xfId="0" applyNumberFormat="1" applyFont="1" applyFill="1" applyBorder="1" applyAlignment="1" applyProtection="1">
      <alignment horizontal="right"/>
      <protection locked="0"/>
    </xf>
    <xf numFmtId="177" fontId="4" fillId="34" borderId="0" xfId="0" applyNumberFormat="1" applyFont="1" applyFill="1" applyBorder="1" applyAlignment="1" applyProtection="1">
      <alignment horizontal="right"/>
      <protection locked="0"/>
    </xf>
    <xf numFmtId="4" fontId="4" fillId="0" borderId="115" xfId="0" applyNumberFormat="1" applyFont="1" applyBorder="1" applyAlignment="1">
      <alignment horizontal="center" vertical="center"/>
    </xf>
    <xf numFmtId="4" fontId="4" fillId="0" borderId="64" xfId="0" applyNumberFormat="1" applyFont="1" applyBorder="1" applyAlignment="1">
      <alignment horizontal="center" vertical="center"/>
    </xf>
    <xf numFmtId="4" fontId="4" fillId="0" borderId="66" xfId="0" applyNumberFormat="1" applyFont="1" applyBorder="1" applyAlignment="1">
      <alignment horizontal="center" vertical="center"/>
    </xf>
    <xf numFmtId="4" fontId="4" fillId="33" borderId="0" xfId="0" applyNumberFormat="1" applyFont="1" applyFill="1" applyBorder="1" applyAlignment="1">
      <alignment horizontal="center" vertical="center"/>
    </xf>
    <xf numFmtId="4" fontId="4" fillId="33" borderId="47" xfId="0" applyNumberFormat="1" applyFont="1" applyFill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57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53" xfId="0" applyNumberFormat="1" applyFont="1" applyBorder="1" applyAlignment="1">
      <alignment horizontal="left" wrapText="1"/>
    </xf>
    <xf numFmtId="4" fontId="4" fillId="0" borderId="151" xfId="0" applyNumberFormat="1" applyFont="1" applyBorder="1" applyAlignment="1">
      <alignment horizontal="center" wrapText="1"/>
    </xf>
    <xf numFmtId="4" fontId="4" fillId="0" borderId="135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center" vertical="center"/>
    </xf>
    <xf numFmtId="4" fontId="4" fillId="0" borderId="152" xfId="0" applyNumberFormat="1" applyFont="1" applyBorder="1" applyAlignment="1">
      <alignment horizontal="center" wrapText="1"/>
    </xf>
    <xf numFmtId="4" fontId="4" fillId="0" borderId="33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center" wrapText="1"/>
    </xf>
    <xf numFmtId="4" fontId="4" fillId="0" borderId="34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center" vertical="center" textRotation="90"/>
    </xf>
    <xf numFmtId="4" fontId="4" fillId="0" borderId="42" xfId="0" applyNumberFormat="1" applyFont="1" applyBorder="1" applyAlignment="1">
      <alignment horizontal="center" vertical="center" textRotation="90"/>
    </xf>
    <xf numFmtId="4" fontId="4" fillId="0" borderId="94" xfId="0" applyNumberFormat="1" applyFont="1" applyBorder="1" applyAlignment="1">
      <alignment horizontal="center" wrapText="1"/>
    </xf>
    <xf numFmtId="4" fontId="4" fillId="0" borderId="19" xfId="0" applyNumberFormat="1" applyFont="1" applyBorder="1" applyAlignment="1">
      <alignment horizontal="center" wrapText="1"/>
    </xf>
    <xf numFmtId="4" fontId="4" fillId="0" borderId="69" xfId="0" applyNumberFormat="1" applyFont="1" applyBorder="1" applyAlignment="1">
      <alignment horizontal="left" vertical="center" wrapText="1"/>
    </xf>
    <xf numFmtId="4" fontId="4" fillId="0" borderId="70" xfId="0" applyNumberFormat="1" applyFont="1" applyBorder="1" applyAlignment="1">
      <alignment horizontal="left" vertical="center" wrapText="1"/>
    </xf>
    <xf numFmtId="4" fontId="4" fillId="0" borderId="89" xfId="0" applyNumberFormat="1" applyFont="1" applyBorder="1" applyAlignment="1">
      <alignment horizontal="center" vertical="center" wrapText="1"/>
    </xf>
    <xf numFmtId="4" fontId="4" fillId="0" borderId="90" xfId="0" applyNumberFormat="1" applyFont="1" applyBorder="1" applyAlignment="1">
      <alignment horizontal="center" vertical="center" wrapText="1"/>
    </xf>
    <xf numFmtId="4" fontId="4" fillId="0" borderId="105" xfId="0" applyNumberFormat="1" applyFont="1" applyBorder="1" applyAlignment="1">
      <alignment horizontal="left"/>
    </xf>
    <xf numFmtId="4" fontId="4" fillId="0" borderId="22" xfId="0" applyNumberFormat="1" applyFont="1" applyBorder="1" applyAlignment="1">
      <alignment horizontal="left"/>
    </xf>
    <xf numFmtId="4" fontId="4" fillId="0" borderId="69" xfId="0" applyNumberFormat="1" applyFont="1" applyBorder="1" applyAlignment="1">
      <alignment horizontal="left"/>
    </xf>
    <xf numFmtId="4" fontId="4" fillId="0" borderId="55" xfId="0" applyNumberFormat="1" applyFont="1" applyBorder="1" applyAlignment="1">
      <alignment horizontal="left"/>
    </xf>
    <xf numFmtId="4" fontId="4" fillId="0" borderId="57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4" fontId="4" fillId="0" borderId="69" xfId="0" applyNumberFormat="1" applyFont="1" applyBorder="1" applyAlignment="1">
      <alignment horizontal="center" vertical="center"/>
    </xf>
    <xf numFmtId="4" fontId="4" fillId="0" borderId="55" xfId="0" applyNumberFormat="1" applyFont="1" applyBorder="1" applyAlignment="1">
      <alignment horizontal="center" vertical="center"/>
    </xf>
    <xf numFmtId="4" fontId="4" fillId="0" borderId="53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center" textRotation="90"/>
    </xf>
    <xf numFmtId="4" fontId="4" fillId="0" borderId="40" xfId="0" applyNumberFormat="1" applyFont="1" applyBorder="1" applyAlignment="1">
      <alignment horizontal="center" textRotation="90"/>
    </xf>
    <xf numFmtId="4" fontId="4" fillId="0" borderId="42" xfId="0" applyNumberFormat="1" applyFont="1" applyBorder="1" applyAlignment="1">
      <alignment horizontal="center" textRotation="90"/>
    </xf>
    <xf numFmtId="4" fontId="4" fillId="0" borderId="93" xfId="0" applyNumberFormat="1" applyFont="1" applyBorder="1" applyAlignment="1">
      <alignment horizontal="right" wrapText="1"/>
    </xf>
    <xf numFmtId="4" fontId="4" fillId="0" borderId="51" xfId="0" applyNumberFormat="1" applyFont="1" applyBorder="1" applyAlignment="1">
      <alignment horizontal="right" wrapText="1"/>
    </xf>
    <xf numFmtId="4" fontId="4" fillId="0" borderId="58" xfId="0" applyNumberFormat="1" applyFont="1" applyBorder="1" applyAlignment="1">
      <alignment horizontal="left"/>
    </xf>
    <xf numFmtId="4" fontId="4" fillId="0" borderId="53" xfId="0" applyNumberFormat="1" applyFont="1" applyBorder="1" applyAlignment="1">
      <alignment horizontal="left"/>
    </xf>
    <xf numFmtId="4" fontId="4" fillId="0" borderId="58" xfId="0" applyNumberFormat="1" applyFont="1" applyBorder="1" applyAlignment="1">
      <alignment horizontal="center"/>
    </xf>
    <xf numFmtId="4" fontId="4" fillId="0" borderId="54" xfId="0" applyNumberFormat="1" applyFont="1" applyBorder="1" applyAlignment="1">
      <alignment horizontal="center"/>
    </xf>
    <xf numFmtId="4" fontId="4" fillId="0" borderId="55" xfId="0" applyNumberFormat="1" applyFont="1" applyBorder="1" applyAlignment="1">
      <alignment horizontal="center" wrapText="1"/>
    </xf>
    <xf numFmtId="4" fontId="4" fillId="0" borderId="108" xfId="0" applyNumberFormat="1" applyFont="1" applyBorder="1" applyAlignment="1">
      <alignment horizontal="center" wrapText="1"/>
    </xf>
    <xf numFmtId="4" fontId="4" fillId="0" borderId="62" xfId="0" applyNumberFormat="1" applyFont="1" applyBorder="1" applyAlignment="1">
      <alignment horizontal="center" wrapText="1"/>
    </xf>
    <xf numFmtId="4" fontId="4" fillId="0" borderId="63" xfId="0" applyNumberFormat="1" applyFont="1" applyBorder="1" applyAlignment="1">
      <alignment horizontal="center" wrapText="1"/>
    </xf>
    <xf numFmtId="4" fontId="4" fillId="0" borderId="56" xfId="0" applyNumberFormat="1" applyFont="1" applyBorder="1" applyAlignment="1">
      <alignment horizontal="left"/>
    </xf>
    <xf numFmtId="4" fontId="4" fillId="0" borderId="15" xfId="0" applyNumberFormat="1" applyFont="1" applyBorder="1" applyAlignment="1">
      <alignment horizontal="left"/>
    </xf>
    <xf numFmtId="4" fontId="4" fillId="0" borderId="52" xfId="0" applyNumberFormat="1" applyFont="1" applyBorder="1" applyAlignment="1">
      <alignment horizontal="left"/>
    </xf>
    <xf numFmtId="4" fontId="4" fillId="0" borderId="54" xfId="0" applyNumberFormat="1" applyFont="1" applyBorder="1" applyAlignment="1">
      <alignment horizontal="left"/>
    </xf>
    <xf numFmtId="4" fontId="13" fillId="0" borderId="69" xfId="0" applyNumberFormat="1" applyFont="1" applyFill="1" applyBorder="1" applyAlignment="1">
      <alignment horizontal="left" wrapText="1"/>
    </xf>
    <xf numFmtId="4" fontId="13" fillId="0" borderId="90" xfId="0" applyNumberFormat="1" applyFont="1" applyFill="1" applyBorder="1" applyAlignment="1">
      <alignment horizontal="left" wrapText="1"/>
    </xf>
    <xf numFmtId="4" fontId="13" fillId="0" borderId="65" xfId="0" applyNumberFormat="1" applyFont="1" applyFill="1" applyBorder="1" applyAlignment="1">
      <alignment horizontal="center" vertical="center"/>
    </xf>
    <xf numFmtId="4" fontId="13" fillId="0" borderId="66" xfId="0" applyNumberFormat="1" applyFont="1" applyFill="1" applyBorder="1" applyAlignment="1">
      <alignment horizontal="center" vertical="center"/>
    </xf>
    <xf numFmtId="4" fontId="13" fillId="0" borderId="153" xfId="0" applyNumberFormat="1" applyFont="1" applyFill="1" applyBorder="1" applyAlignment="1">
      <alignment horizontal="center" vertical="center"/>
    </xf>
    <xf numFmtId="4" fontId="4" fillId="33" borderId="57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horizontal="center"/>
    </xf>
    <xf numFmtId="4" fontId="4" fillId="33" borderId="47" xfId="0" applyNumberFormat="1" applyFont="1" applyFill="1" applyBorder="1" applyAlignment="1">
      <alignment horizontal="center"/>
    </xf>
    <xf numFmtId="4" fontId="4" fillId="0" borderId="57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 wrapText="1"/>
    </xf>
    <xf numFmtId="4" fontId="4" fillId="0" borderId="47" xfId="0" applyNumberFormat="1" applyFont="1" applyBorder="1" applyAlignment="1">
      <alignment horizontal="center" wrapText="1"/>
    </xf>
    <xf numFmtId="4" fontId="4" fillId="0" borderId="47" xfId="0" applyNumberFormat="1" applyFont="1" applyBorder="1" applyAlignment="1">
      <alignment horizontal="left" wrapText="1"/>
    </xf>
    <xf numFmtId="4" fontId="4" fillId="33" borderId="56" xfId="0" applyNumberFormat="1" applyFont="1" applyFill="1" applyBorder="1" applyAlignment="1">
      <alignment horizontal="center"/>
    </xf>
    <xf numFmtId="4" fontId="4" fillId="33" borderId="15" xfId="0" applyNumberFormat="1" applyFont="1" applyFill="1" applyBorder="1" applyAlignment="1">
      <alignment horizontal="center"/>
    </xf>
    <xf numFmtId="4" fontId="4" fillId="33" borderId="52" xfId="0" applyNumberFormat="1" applyFont="1" applyFill="1" applyBorder="1" applyAlignment="1">
      <alignment horizontal="center"/>
    </xf>
    <xf numFmtId="4" fontId="4" fillId="0" borderId="47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 horizontal="left" wrapText="1"/>
    </xf>
    <xf numFmtId="4" fontId="4" fillId="0" borderId="52" xfId="0" applyNumberFormat="1" applyFont="1" applyBorder="1" applyAlignment="1">
      <alignment horizontal="left" wrapText="1"/>
    </xf>
    <xf numFmtId="4" fontId="13" fillId="0" borderId="57" xfId="0" applyNumberFormat="1" applyFont="1" applyFill="1" applyBorder="1" applyAlignment="1">
      <alignment horizontal="left" wrapText="1"/>
    </xf>
    <xf numFmtId="4" fontId="13" fillId="0" borderId="21" xfId="0" applyNumberFormat="1" applyFont="1" applyFill="1" applyBorder="1" applyAlignment="1">
      <alignment horizontal="left" wrapText="1"/>
    </xf>
    <xf numFmtId="4" fontId="13" fillId="0" borderId="11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13" fillId="0" borderId="22" xfId="0" applyNumberFormat="1" applyFont="1" applyBorder="1" applyAlignment="1">
      <alignment horizontal="center"/>
    </xf>
    <xf numFmtId="4" fontId="13" fillId="0" borderId="48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left" wrapText="1"/>
    </xf>
    <xf numFmtId="0" fontId="4" fillId="0" borderId="34" xfId="0" applyNumberFormat="1" applyFont="1" applyBorder="1" applyAlignment="1">
      <alignment horizontal="left" wrapText="1"/>
    </xf>
    <xf numFmtId="0" fontId="4" fillId="0" borderId="151" xfId="0" applyNumberFormat="1" applyFont="1" applyBorder="1" applyAlignment="1">
      <alignment horizontal="left" wrapText="1"/>
    </xf>
    <xf numFmtId="0" fontId="4" fillId="0" borderId="135" xfId="0" applyNumberFormat="1" applyFont="1" applyBorder="1" applyAlignment="1">
      <alignment horizontal="left" wrapText="1"/>
    </xf>
    <xf numFmtId="4" fontId="4" fillId="0" borderId="0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left" wrapText="1"/>
    </xf>
    <xf numFmtId="4" fontId="4" fillId="0" borderId="56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57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105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left" wrapText="1"/>
    </xf>
    <xf numFmtId="4" fontId="4" fillId="0" borderId="48" xfId="0" applyNumberFormat="1" applyFont="1" applyBorder="1" applyAlignment="1">
      <alignment horizontal="left" wrapText="1"/>
    </xf>
    <xf numFmtId="4" fontId="4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left"/>
    </xf>
    <xf numFmtId="4" fontId="4" fillId="0" borderId="56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4" fontId="4" fillId="0" borderId="105" xfId="0" applyNumberFormat="1" applyFont="1" applyBorder="1" applyAlignment="1">
      <alignment horizontal="center" vertical="center"/>
    </xf>
    <xf numFmtId="0" fontId="4" fillId="0" borderId="69" xfId="0" applyFont="1" applyBorder="1" applyAlignment="1">
      <alignment horizontal="left" wrapText="1"/>
    </xf>
    <xf numFmtId="0" fontId="4" fillId="0" borderId="55" xfId="0" applyFont="1" applyBorder="1" applyAlignment="1">
      <alignment horizontal="left" wrapText="1"/>
    </xf>
    <xf numFmtId="0" fontId="4" fillId="0" borderId="149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54" xfId="0" applyFont="1" applyBorder="1" applyAlignment="1">
      <alignment horizontal="center" wrapText="1"/>
    </xf>
    <xf numFmtId="0" fontId="4" fillId="0" borderId="57" xfId="0" applyFont="1" applyBorder="1" applyAlignment="1">
      <alignment horizontal="left" wrapText="1"/>
    </xf>
    <xf numFmtId="0" fontId="4" fillId="0" borderId="120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4" fillId="0" borderId="38" xfId="0" applyFont="1" applyBorder="1" applyAlignment="1">
      <alignment horizontal="center" vertical="center" textRotation="90"/>
    </xf>
    <xf numFmtId="0" fontId="4" fillId="0" borderId="40" xfId="0" applyFont="1" applyBorder="1" applyAlignment="1">
      <alignment horizontal="center" vertical="center" textRotation="90"/>
    </xf>
    <xf numFmtId="0" fontId="4" fillId="0" borderId="94" xfId="0" applyFont="1" applyBorder="1" applyAlignment="1">
      <alignment horizontal="right" wrapText="1"/>
    </xf>
    <xf numFmtId="0" fontId="4" fillId="0" borderId="19" xfId="0" applyFont="1" applyBorder="1" applyAlignment="1">
      <alignment horizontal="right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textRotation="90"/>
    </xf>
    <xf numFmtId="0" fontId="4" fillId="0" borderId="56" xfId="0" applyFont="1" applyBorder="1" applyAlignment="1">
      <alignment horizontal="center" vertical="center" textRotation="90"/>
    </xf>
    <xf numFmtId="0" fontId="4" fillId="0" borderId="57" xfId="0" applyFont="1" applyBorder="1" applyAlignment="1">
      <alignment horizontal="center" vertical="center" textRotation="90"/>
    </xf>
    <xf numFmtId="0" fontId="4" fillId="0" borderId="105" xfId="0" applyFont="1" applyBorder="1" applyAlignment="1">
      <alignment horizontal="center" vertical="center" textRotation="90"/>
    </xf>
    <xf numFmtId="4" fontId="13" fillId="0" borderId="65" xfId="0" applyNumberFormat="1" applyFont="1" applyBorder="1" applyAlignment="1">
      <alignment horizontal="center" vertical="center" wrapText="1"/>
    </xf>
    <xf numFmtId="4" fontId="13" fillId="0" borderId="64" xfId="0" applyNumberFormat="1" applyFont="1" applyBorder="1" applyAlignment="1">
      <alignment horizontal="center" vertical="center" wrapText="1"/>
    </xf>
    <xf numFmtId="4" fontId="13" fillId="0" borderId="115" xfId="0" applyNumberFormat="1" applyFont="1" applyBorder="1" applyAlignment="1">
      <alignment horizontal="center" vertical="center" wrapText="1"/>
    </xf>
    <xf numFmtId="4" fontId="13" fillId="0" borderId="66" xfId="0" applyNumberFormat="1" applyFont="1" applyBorder="1" applyAlignment="1">
      <alignment horizontal="center" vertical="center" wrapText="1"/>
    </xf>
    <xf numFmtId="4" fontId="7" fillId="0" borderId="40" xfId="0" applyNumberFormat="1" applyFont="1" applyBorder="1" applyAlignment="1">
      <alignment horizontal="center" vertical="center" textRotation="90"/>
    </xf>
    <xf numFmtId="4" fontId="7" fillId="0" borderId="36" xfId="0" applyNumberFormat="1" applyFont="1" applyBorder="1" applyAlignment="1">
      <alignment horizontal="center" vertical="center" textRotation="90"/>
    </xf>
    <xf numFmtId="4" fontId="4" fillId="0" borderId="11" xfId="0" applyNumberFormat="1" applyFont="1" applyBorder="1" applyAlignment="1">
      <alignment horizontal="center" vertical="center"/>
    </xf>
    <xf numFmtId="4" fontId="4" fillId="0" borderId="92" xfId="0" applyNumberFormat="1" applyFont="1" applyBorder="1" applyAlignment="1">
      <alignment horizontal="left" wrapText="1"/>
    </xf>
    <xf numFmtId="4" fontId="4" fillId="0" borderId="50" xfId="0" applyNumberFormat="1" applyFont="1" applyBorder="1" applyAlignment="1">
      <alignment horizontal="left" wrapText="1"/>
    </xf>
    <xf numFmtId="4" fontId="4" fillId="0" borderId="11" xfId="0" applyNumberFormat="1" applyFont="1" applyBorder="1" applyAlignment="1">
      <alignment horizontal="center" wrapText="1"/>
    </xf>
    <xf numFmtId="4" fontId="4" fillId="0" borderId="21" xfId="0" applyNumberFormat="1" applyFont="1" applyBorder="1" applyAlignment="1">
      <alignment horizontal="center" wrapText="1"/>
    </xf>
    <xf numFmtId="4" fontId="4" fillId="0" borderId="16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center" wrapText="1"/>
    </xf>
    <xf numFmtId="4" fontId="4" fillId="0" borderId="65" xfId="0" applyNumberFormat="1" applyFont="1" applyBorder="1" applyAlignment="1">
      <alignment horizontal="right"/>
    </xf>
    <xf numFmtId="0" fontId="0" fillId="0" borderId="66" xfId="0" applyBorder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13" fillId="0" borderId="108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 vertical="center"/>
    </xf>
    <xf numFmtId="4" fontId="7" fillId="0" borderId="40" xfId="0" applyNumberFormat="1" applyFont="1" applyBorder="1" applyAlignment="1">
      <alignment horizontal="center" textRotation="90"/>
    </xf>
    <xf numFmtId="4" fontId="7" fillId="0" borderId="36" xfId="0" applyNumberFormat="1" applyFont="1" applyBorder="1" applyAlignment="1">
      <alignment horizontal="center" textRotation="90"/>
    </xf>
    <xf numFmtId="4" fontId="7" fillId="0" borderId="69" xfId="0" applyNumberFormat="1" applyFont="1" applyBorder="1" applyAlignment="1">
      <alignment horizontal="center" vertical="center" wrapText="1"/>
    </xf>
    <xf numFmtId="4" fontId="7" fillId="0" borderId="90" xfId="0" applyNumberFormat="1" applyFont="1" applyBorder="1" applyAlignment="1">
      <alignment horizontal="center" vertical="center" wrapText="1"/>
    </xf>
    <xf numFmtId="4" fontId="7" fillId="0" borderId="57" xfId="0" applyNumberFormat="1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 vertical="center" wrapText="1"/>
    </xf>
    <xf numFmtId="4" fontId="7" fillId="0" borderId="58" xfId="0" applyNumberFormat="1" applyFont="1" applyBorder="1" applyAlignment="1">
      <alignment horizontal="center" vertical="center" wrapText="1"/>
    </xf>
    <xf numFmtId="4" fontId="7" fillId="0" borderId="60" xfId="0" applyNumberFormat="1" applyFont="1" applyBorder="1" applyAlignment="1">
      <alignment horizontal="center" vertical="center" wrapText="1"/>
    </xf>
    <xf numFmtId="4" fontId="7" fillId="0" borderId="65" xfId="0" applyNumberFormat="1" applyFont="1" applyBorder="1" applyAlignment="1">
      <alignment horizontal="right"/>
    </xf>
    <xf numFmtId="4" fontId="7" fillId="0" borderId="66" xfId="0" applyNumberFormat="1" applyFont="1" applyBorder="1" applyAlignment="1">
      <alignment horizontal="right"/>
    </xf>
    <xf numFmtId="4" fontId="7" fillId="0" borderId="77" xfId="0" applyNumberFormat="1" applyFont="1" applyBorder="1" applyAlignment="1">
      <alignment horizontal="center" vertical="center" textRotation="90"/>
    </xf>
    <xf numFmtId="4" fontId="13" fillId="0" borderId="89" xfId="0" applyNumberFormat="1" applyFont="1" applyBorder="1" applyAlignment="1">
      <alignment horizontal="center" vertical="center" wrapText="1"/>
    </xf>
    <xf numFmtId="4" fontId="13" fillId="0" borderId="55" xfId="0" applyNumberFormat="1" applyFont="1" applyBorder="1" applyAlignment="1">
      <alignment horizontal="center" vertical="center" wrapText="1"/>
    </xf>
    <xf numFmtId="4" fontId="4" fillId="0" borderId="56" xfId="0" applyNumberFormat="1" applyFont="1" applyBorder="1" applyAlignment="1">
      <alignment horizontal="left" wrapText="1"/>
    </xf>
    <xf numFmtId="4" fontId="4" fillId="0" borderId="15" xfId="0" applyNumberFormat="1" applyFont="1" applyBorder="1" applyAlignment="1">
      <alignment horizontal="left" wrapText="1"/>
    </xf>
    <xf numFmtId="4" fontId="4" fillId="0" borderId="57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left" vertical="center" wrapText="1"/>
    </xf>
    <xf numFmtId="4" fontId="13" fillId="0" borderId="69" xfId="0" applyNumberFormat="1" applyFont="1" applyBorder="1" applyAlignment="1">
      <alignment horizontal="center" vertical="center" wrapText="1"/>
    </xf>
    <xf numFmtId="4" fontId="13" fillId="0" borderId="90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left"/>
    </xf>
    <xf numFmtId="4" fontId="4" fillId="0" borderId="24" xfId="0" applyNumberFormat="1" applyFont="1" applyBorder="1" applyAlignment="1">
      <alignment horizontal="center" wrapText="1"/>
    </xf>
    <xf numFmtId="4" fontId="4" fillId="0" borderId="15" xfId="0" applyNumberFormat="1" applyFont="1" applyBorder="1" applyAlignment="1">
      <alignment horizontal="center" wrapText="1"/>
    </xf>
    <xf numFmtId="4" fontId="4" fillId="0" borderId="89" xfId="0" applyNumberFormat="1" applyFont="1" applyBorder="1" applyAlignment="1" applyProtection="1">
      <alignment horizontal="center" vertical="center" wrapText="1"/>
      <protection locked="0"/>
    </xf>
    <xf numFmtId="4" fontId="4" fillId="0" borderId="55" xfId="0" applyNumberFormat="1" applyFont="1" applyBorder="1" applyAlignment="1" applyProtection="1">
      <alignment horizontal="center" vertical="center" wrapText="1"/>
      <protection locked="0"/>
    </xf>
    <xf numFmtId="4" fontId="4" fillId="0" borderId="70" xfId="0" applyNumberFormat="1" applyFont="1" applyBorder="1" applyAlignment="1" applyProtection="1">
      <alignment horizontal="center" vertical="center" wrapText="1"/>
      <protection locked="0"/>
    </xf>
    <xf numFmtId="4" fontId="4" fillId="0" borderId="11" xfId="0" applyNumberFormat="1" applyFont="1" applyBorder="1" applyAlignment="1" applyProtection="1">
      <alignment horizontal="center" vertical="center" wrapText="1"/>
      <protection locked="0"/>
    </xf>
    <xf numFmtId="4" fontId="4" fillId="0" borderId="0" xfId="0" applyNumberFormat="1" applyFont="1" applyBorder="1" applyAlignment="1" applyProtection="1">
      <alignment horizontal="center" vertical="center" wrapText="1"/>
      <protection locked="0"/>
    </xf>
    <xf numFmtId="4" fontId="4" fillId="0" borderId="47" xfId="0" applyNumberFormat="1" applyFont="1" applyBorder="1" applyAlignment="1" applyProtection="1">
      <alignment horizontal="center" vertical="center" wrapText="1"/>
      <protection locked="0"/>
    </xf>
    <xf numFmtId="4" fontId="4" fillId="0" borderId="61" xfId="0" applyNumberFormat="1" applyFont="1" applyBorder="1" applyAlignment="1" applyProtection="1">
      <alignment horizontal="center" vertical="center" wrapText="1"/>
      <protection locked="0"/>
    </xf>
    <xf numFmtId="4" fontId="4" fillId="0" borderId="53" xfId="0" applyNumberFormat="1" applyFont="1" applyBorder="1" applyAlignment="1" applyProtection="1">
      <alignment horizontal="center" vertical="center" wrapText="1"/>
      <protection locked="0"/>
    </xf>
    <xf numFmtId="4" fontId="4" fillId="0" borderId="54" xfId="0" applyNumberFormat="1" applyFont="1" applyBorder="1" applyAlignment="1" applyProtection="1">
      <alignment horizontal="center" vertical="center" wrapText="1"/>
      <protection locked="0"/>
    </xf>
    <xf numFmtId="4" fontId="4" fillId="0" borderId="89" xfId="0" applyNumberFormat="1" applyFont="1" applyBorder="1" applyAlignment="1" applyProtection="1">
      <alignment/>
      <protection/>
    </xf>
    <xf numFmtId="0" fontId="0" fillId="0" borderId="7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4" fontId="4" fillId="0" borderId="11" xfId="0" applyNumberFormat="1" applyFont="1" applyBorder="1" applyAlignment="1">
      <alignment horizontal="left" vertical="center" wrapText="1"/>
    </xf>
    <xf numFmtId="4" fontId="4" fillId="0" borderId="61" xfId="0" applyNumberFormat="1" applyFont="1" applyBorder="1" applyAlignment="1">
      <alignment horizontal="left" vertical="center" wrapText="1"/>
    </xf>
    <xf numFmtId="4" fontId="4" fillId="0" borderId="53" xfId="0" applyNumberFormat="1" applyFont="1" applyBorder="1" applyAlignment="1">
      <alignment horizontal="left" vertical="center" wrapText="1"/>
    </xf>
    <xf numFmtId="4" fontId="4" fillId="0" borderId="89" xfId="0" applyNumberFormat="1" applyFont="1" applyBorder="1" applyAlignment="1">
      <alignment horizontal="left"/>
    </xf>
    <xf numFmtId="4" fontId="4" fillId="0" borderId="93" xfId="0" applyNumberFormat="1" applyFont="1" applyBorder="1" applyAlignment="1">
      <alignment horizontal="left"/>
    </xf>
    <xf numFmtId="4" fontId="4" fillId="0" borderId="71" xfId="0" applyNumberFormat="1" applyFont="1" applyBorder="1" applyAlignment="1">
      <alignment horizontal="left"/>
    </xf>
    <xf numFmtId="4" fontId="4" fillId="0" borderId="5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7" fillId="35" borderId="18" xfId="0" applyNumberFormat="1" applyFont="1" applyFill="1" applyBorder="1" applyAlignment="1" applyProtection="1">
      <alignment horizontal="center"/>
      <protection locked="0"/>
    </xf>
    <xf numFmtId="0" fontId="7" fillId="35" borderId="19" xfId="0" applyNumberFormat="1" applyFont="1" applyFill="1" applyBorder="1" applyAlignment="1" applyProtection="1">
      <alignment horizontal="center"/>
      <protection locked="0"/>
    </xf>
    <xf numFmtId="0" fontId="7" fillId="35" borderId="17" xfId="0" applyNumberFormat="1" applyFont="1" applyFill="1" applyBorder="1" applyAlignment="1" applyProtection="1">
      <alignment horizontal="center"/>
      <protection locked="0"/>
    </xf>
    <xf numFmtId="0" fontId="7" fillId="41" borderId="18" xfId="0" applyNumberFormat="1" applyFont="1" applyFill="1" applyBorder="1" applyAlignment="1" applyProtection="1">
      <alignment horizontal="center"/>
      <protection locked="0"/>
    </xf>
    <xf numFmtId="0" fontId="7" fillId="41" borderId="19" xfId="0" applyNumberFormat="1" applyFont="1" applyFill="1" applyBorder="1" applyAlignment="1" applyProtection="1">
      <alignment horizontal="center"/>
      <protection locked="0"/>
    </xf>
    <xf numFmtId="0" fontId="7" fillId="41" borderId="17" xfId="0" applyNumberFormat="1" applyFont="1" applyFill="1" applyBorder="1" applyAlignment="1" applyProtection="1">
      <alignment horizontal="center"/>
      <protection locked="0"/>
    </xf>
    <xf numFmtId="0" fontId="21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13" xfId="0" applyFont="1" applyFill="1" applyBorder="1" applyAlignment="1">
      <alignment horizontal="center" vertical="center" textRotation="90" wrapText="1"/>
    </xf>
    <xf numFmtId="0" fontId="5" fillId="36" borderId="14" xfId="0" applyFont="1" applyFill="1" applyBorder="1" applyAlignment="1">
      <alignment horizontal="center" vertical="center" textRotation="90" wrapText="1"/>
    </xf>
    <xf numFmtId="0" fontId="4" fillId="41" borderId="16" xfId="0" applyNumberFormat="1" applyFont="1" applyFill="1" applyBorder="1" applyAlignment="1" applyProtection="1">
      <alignment horizontal="right"/>
      <protection locked="0"/>
    </xf>
    <xf numFmtId="0" fontId="4" fillId="41" borderId="23" xfId="0" applyNumberFormat="1" applyFont="1" applyFill="1" applyBorder="1" applyAlignment="1" applyProtection="1">
      <alignment horizontal="right"/>
      <protection locked="0"/>
    </xf>
    <xf numFmtId="0" fontId="4" fillId="41" borderId="22" xfId="0" applyNumberFormat="1" applyFont="1" applyFill="1" applyBorder="1" applyAlignment="1" applyProtection="1">
      <alignment horizontal="right"/>
      <protection locked="0"/>
    </xf>
    <xf numFmtId="0" fontId="7" fillId="36" borderId="16" xfId="0" applyNumberFormat="1" applyFont="1" applyFill="1" applyBorder="1" applyAlignment="1" applyProtection="1">
      <alignment horizontal="right"/>
      <protection locked="0"/>
    </xf>
    <xf numFmtId="0" fontId="7" fillId="36" borderId="22" xfId="0" applyNumberFormat="1" applyFont="1" applyFill="1" applyBorder="1" applyAlignment="1" applyProtection="1">
      <alignment horizontal="right"/>
      <protection locked="0"/>
    </xf>
    <xf numFmtId="0" fontId="7" fillId="36" borderId="23" xfId="0" applyNumberFormat="1" applyFont="1" applyFill="1" applyBorder="1" applyAlignment="1" applyProtection="1">
      <alignment horizontal="right"/>
      <protection locked="0"/>
    </xf>
    <xf numFmtId="0" fontId="21" fillId="34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21" fillId="34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11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13" xfId="0" applyNumberFormat="1" applyFont="1" applyFill="1" applyBorder="1" applyAlignment="1" applyProtection="1">
      <alignment horizontal="center" wrapText="1"/>
      <protection locked="0"/>
    </xf>
    <xf numFmtId="0" fontId="4" fillId="0" borderId="14" xfId="0" applyNumberFormat="1" applyFont="1" applyFill="1" applyBorder="1" applyAlignment="1" applyProtection="1">
      <alignment horizontal="center" wrapText="1"/>
      <protection locked="0"/>
    </xf>
    <xf numFmtId="0" fontId="4" fillId="0" borderId="10" xfId="0" applyNumberFormat="1" applyFont="1" applyFill="1" applyBorder="1" applyAlignment="1" applyProtection="1">
      <alignment horizontal="left" wrapText="1"/>
      <protection locked="0"/>
    </xf>
    <xf numFmtId="0" fontId="4" fillId="0" borderId="15" xfId="0" applyNumberFormat="1" applyFont="1" applyFill="1" applyBorder="1" applyAlignment="1" applyProtection="1">
      <alignment horizontal="left" wrapText="1"/>
      <protection locked="0"/>
    </xf>
    <xf numFmtId="0" fontId="4" fillId="0" borderId="16" xfId="0" applyNumberFormat="1" applyFont="1" applyFill="1" applyBorder="1" applyAlignment="1" applyProtection="1">
      <alignment horizontal="left"/>
      <protection locked="0"/>
    </xf>
    <xf numFmtId="0" fontId="4" fillId="0" borderId="22" xfId="0" applyNumberFormat="1" applyFont="1" applyFill="1" applyBorder="1" applyAlignment="1" applyProtection="1">
      <alignment horizontal="left"/>
      <protection locked="0"/>
    </xf>
    <xf numFmtId="0" fontId="7" fillId="39" borderId="18" xfId="0" applyNumberFormat="1" applyFont="1" applyFill="1" applyBorder="1" applyAlignment="1" applyProtection="1">
      <alignment horizontal="center"/>
      <protection locked="0"/>
    </xf>
    <xf numFmtId="0" fontId="7" fillId="39" borderId="15" xfId="0" applyNumberFormat="1" applyFont="1" applyFill="1" applyBorder="1" applyAlignment="1" applyProtection="1">
      <alignment horizontal="center"/>
      <protection locked="0"/>
    </xf>
    <xf numFmtId="0" fontId="22" fillId="41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41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87" xfId="0" applyNumberFormat="1" applyFont="1" applyFill="1" applyBorder="1" applyAlignment="1" applyProtection="1">
      <alignment horizontal="left"/>
      <protection locked="0"/>
    </xf>
    <xf numFmtId="0" fontId="4" fillId="33" borderId="24" xfId="0" applyNumberFormat="1" applyFont="1" applyFill="1" applyBorder="1" applyAlignment="1" applyProtection="1">
      <alignment horizontal="left"/>
      <protection locked="0"/>
    </xf>
    <xf numFmtId="0" fontId="4" fillId="33" borderId="84" xfId="0" applyNumberFormat="1" applyFont="1" applyFill="1" applyBorder="1" applyAlignment="1" applyProtection="1">
      <alignment horizontal="left"/>
      <protection locked="0"/>
    </xf>
    <xf numFmtId="0" fontId="4" fillId="34" borderId="86" xfId="0" applyNumberFormat="1" applyFont="1" applyFill="1" applyBorder="1" applyAlignment="1" applyProtection="1">
      <alignment horizontal="left"/>
      <protection locked="0"/>
    </xf>
    <xf numFmtId="0" fontId="4" fillId="34" borderId="27" xfId="0" applyNumberFormat="1" applyFont="1" applyFill="1" applyBorder="1" applyAlignment="1" applyProtection="1">
      <alignment horizontal="left"/>
      <protection locked="0"/>
    </xf>
    <xf numFmtId="0" fontId="4" fillId="34" borderId="85" xfId="0" applyNumberFormat="1" applyFont="1" applyFill="1" applyBorder="1" applyAlignment="1" applyProtection="1">
      <alignment horizontal="left"/>
      <protection locked="0"/>
    </xf>
    <xf numFmtId="0" fontId="7" fillId="39" borderId="19" xfId="0" applyNumberFormat="1" applyFont="1" applyFill="1" applyBorder="1" applyAlignment="1" applyProtection="1">
      <alignment horizontal="center"/>
      <protection locked="0"/>
    </xf>
    <xf numFmtId="0" fontId="7" fillId="39" borderId="17" xfId="0" applyNumberFormat="1" applyFont="1" applyFill="1" applyBorder="1" applyAlignment="1" applyProtection="1">
      <alignment horizontal="center"/>
      <protection locked="0"/>
    </xf>
    <xf numFmtId="0" fontId="21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1" fillId="33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21" fillId="33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3" borderId="22" xfId="0" applyNumberFormat="1" applyFont="1" applyFill="1" applyBorder="1" applyAlignment="1" applyProtection="1">
      <alignment horizontal="right"/>
      <protection locked="0"/>
    </xf>
    <xf numFmtId="0" fontId="4" fillId="33" borderId="23" xfId="0" applyNumberFormat="1" applyFont="1" applyFill="1" applyBorder="1" applyAlignment="1" applyProtection="1">
      <alignment horizontal="right"/>
      <protection locked="0"/>
    </xf>
    <xf numFmtId="0" fontId="21" fillId="34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21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4" borderId="18" xfId="0" applyNumberFormat="1" applyFont="1" applyFill="1" applyBorder="1" applyAlignment="1" applyProtection="1">
      <alignment horizontal="right"/>
      <protection locked="0"/>
    </xf>
    <xf numFmtId="0" fontId="4" fillId="34" borderId="19" xfId="0" applyNumberFormat="1" applyFont="1" applyFill="1" applyBorder="1" applyAlignment="1" applyProtection="1">
      <alignment horizontal="right"/>
      <protection locked="0"/>
    </xf>
    <xf numFmtId="0" fontId="4" fillId="34" borderId="17" xfId="0" applyNumberFormat="1" applyFont="1" applyFill="1" applyBorder="1" applyAlignment="1" applyProtection="1">
      <alignment horizontal="right"/>
      <protection locked="0"/>
    </xf>
    <xf numFmtId="0" fontId="7" fillId="42" borderId="18" xfId="0" applyNumberFormat="1" applyFont="1" applyFill="1" applyBorder="1" applyAlignment="1" applyProtection="1">
      <alignment horizontal="center"/>
      <protection locked="0"/>
    </xf>
    <xf numFmtId="0" fontId="7" fillId="42" borderId="19" xfId="0" applyNumberFormat="1" applyFont="1" applyFill="1" applyBorder="1" applyAlignment="1" applyProtection="1">
      <alignment horizontal="center"/>
      <protection locked="0"/>
    </xf>
    <xf numFmtId="0" fontId="7" fillId="42" borderId="17" xfId="0" applyNumberFormat="1" applyFont="1" applyFill="1" applyBorder="1" applyAlignment="1" applyProtection="1">
      <alignment horizontal="center"/>
      <protection locked="0"/>
    </xf>
    <xf numFmtId="0" fontId="21" fillId="33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3" borderId="26" xfId="0" applyNumberFormat="1" applyFont="1" applyFill="1" applyBorder="1" applyAlignment="1" applyProtection="1">
      <alignment horizontal="right"/>
      <protection locked="0"/>
    </xf>
    <xf numFmtId="0" fontId="21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8" xfId="0" applyNumberFormat="1" applyFont="1" applyFill="1" applyBorder="1" applyAlignment="1" applyProtection="1">
      <alignment horizontal="right"/>
      <protection locked="0"/>
    </xf>
    <xf numFmtId="0" fontId="7" fillId="34" borderId="19" xfId="0" applyNumberFormat="1" applyFont="1" applyFill="1" applyBorder="1" applyAlignment="1" applyProtection="1">
      <alignment horizontal="right"/>
      <protection locked="0"/>
    </xf>
    <xf numFmtId="0" fontId="7" fillId="34" borderId="17" xfId="0" applyNumberFormat="1" applyFont="1" applyFill="1" applyBorder="1" applyAlignment="1" applyProtection="1">
      <alignment horizontal="right"/>
      <protection locked="0"/>
    </xf>
    <xf numFmtId="0" fontId="4" fillId="34" borderId="10" xfId="0" applyNumberFormat="1" applyFont="1" applyFill="1" applyBorder="1" applyAlignment="1" applyProtection="1">
      <alignment horizontal="right"/>
      <protection locked="0"/>
    </xf>
    <xf numFmtId="0" fontId="4" fillId="34" borderId="15" xfId="0" applyNumberFormat="1" applyFont="1" applyFill="1" applyBorder="1" applyAlignment="1" applyProtection="1">
      <alignment horizontal="right"/>
      <protection locked="0"/>
    </xf>
    <xf numFmtId="0" fontId="4" fillId="34" borderId="20" xfId="0" applyNumberFormat="1" applyFont="1" applyFill="1" applyBorder="1" applyAlignment="1" applyProtection="1">
      <alignment horizontal="right"/>
      <protection locked="0"/>
    </xf>
    <xf numFmtId="0" fontId="4" fillId="0" borderId="11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4" fillId="34" borderId="16" xfId="0" applyNumberFormat="1" applyFont="1" applyFill="1" applyBorder="1" applyAlignment="1" applyProtection="1">
      <alignment horizontal="right"/>
      <protection locked="0"/>
    </xf>
    <xf numFmtId="0" fontId="4" fillId="34" borderId="22" xfId="0" applyNumberFormat="1" applyFont="1" applyFill="1" applyBorder="1" applyAlignment="1" applyProtection="1">
      <alignment horizontal="right"/>
      <protection locked="0"/>
    </xf>
    <xf numFmtId="0" fontId="4" fillId="34" borderId="23" xfId="0" applyNumberFormat="1" applyFont="1" applyFill="1" applyBorder="1" applyAlignment="1" applyProtection="1">
      <alignment horizontal="right"/>
      <protection locked="0"/>
    </xf>
    <xf numFmtId="0" fontId="21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21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21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21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6" xfId="0" applyNumberFormat="1" applyFont="1" applyFill="1" applyBorder="1" applyAlignment="1" applyProtection="1">
      <alignment horizontal="center"/>
      <protection locked="0"/>
    </xf>
    <xf numFmtId="0" fontId="21" fillId="0" borderId="23" xfId="0" applyNumberFormat="1" applyFont="1" applyFill="1" applyBorder="1" applyAlignment="1" applyProtection="1">
      <alignment horizontal="center"/>
      <protection locked="0"/>
    </xf>
    <xf numFmtId="0" fontId="7" fillId="41" borderId="12" xfId="0" applyNumberFormat="1" applyFont="1" applyFill="1" applyBorder="1" applyAlignment="1" applyProtection="1">
      <alignment horizontal="center" vertical="center" textRotation="90"/>
      <protection locked="0"/>
    </xf>
    <xf numFmtId="0" fontId="7" fillId="41" borderId="13" xfId="0" applyNumberFormat="1" applyFont="1" applyFill="1" applyBorder="1" applyAlignment="1" applyProtection="1">
      <alignment horizontal="center" vertical="center" textRotation="90"/>
      <protection locked="0"/>
    </xf>
    <xf numFmtId="0" fontId="7" fillId="41" borderId="11" xfId="0" applyNumberFormat="1" applyFont="1" applyFill="1" applyBorder="1" applyAlignment="1" applyProtection="1">
      <alignment horizontal="center" vertical="center" textRotation="90"/>
      <protection locked="0"/>
    </xf>
    <xf numFmtId="0" fontId="7" fillId="41" borderId="14" xfId="0" applyNumberFormat="1" applyFont="1" applyFill="1" applyBorder="1" applyAlignment="1" applyProtection="1">
      <alignment horizontal="center" vertical="center" textRotation="90"/>
      <protection locked="0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" fontId="4" fillId="0" borderId="11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4" fillId="34" borderId="18" xfId="0" applyNumberFormat="1" applyFont="1" applyFill="1" applyBorder="1" applyAlignment="1" applyProtection="1">
      <alignment horizontal="left"/>
      <protection locked="0"/>
    </xf>
    <xf numFmtId="0" fontId="4" fillId="34" borderId="19" xfId="0" applyNumberFormat="1" applyFont="1" applyFill="1" applyBorder="1" applyAlignment="1" applyProtection="1">
      <alignment horizontal="left"/>
      <protection locked="0"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0" fontId="4" fillId="33" borderId="15" xfId="0" applyNumberFormat="1" applyFont="1" applyFill="1" applyBorder="1" applyAlignment="1" applyProtection="1">
      <alignment horizontal="center"/>
      <protection locked="0"/>
    </xf>
    <xf numFmtId="0" fontId="4" fillId="0" borderId="21" xfId="0" applyNumberFormat="1" applyFont="1" applyFill="1" applyBorder="1" applyAlignment="1" applyProtection="1">
      <alignment horizontal="left"/>
      <protection locked="0"/>
    </xf>
    <xf numFmtId="0" fontId="4" fillId="33" borderId="18" xfId="0" applyNumberFormat="1" applyFont="1" applyFill="1" applyBorder="1" applyAlignment="1" applyProtection="1">
      <alignment horizontal="center"/>
      <protection locked="0"/>
    </xf>
    <xf numFmtId="0" fontId="4" fillId="33" borderId="17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 wrapText="1"/>
      <protection locked="0"/>
    </xf>
    <xf numFmtId="4" fontId="4" fillId="0" borderId="19" xfId="0" applyNumberFormat="1" applyFont="1" applyBorder="1" applyAlignment="1">
      <alignment horizontal="center"/>
    </xf>
    <xf numFmtId="0" fontId="7" fillId="35" borderId="18" xfId="0" applyNumberFormat="1" applyFont="1" applyFill="1" applyBorder="1" applyAlignment="1" applyProtection="1">
      <alignment horizontal="right"/>
      <protection locked="0"/>
    </xf>
    <xf numFmtId="0" fontId="7" fillId="35" borderId="19" xfId="0" applyNumberFormat="1" applyFont="1" applyFill="1" applyBorder="1" applyAlignment="1" applyProtection="1">
      <alignment horizontal="right"/>
      <protection locked="0"/>
    </xf>
    <xf numFmtId="4" fontId="4" fillId="0" borderId="10" xfId="0" applyNumberFormat="1" applyFont="1" applyFill="1" applyBorder="1" applyAlignment="1" applyProtection="1">
      <alignment horizontal="center"/>
      <protection locked="0"/>
    </xf>
    <xf numFmtId="4" fontId="4" fillId="0" borderId="15" xfId="0" applyNumberFormat="1" applyFont="1" applyFill="1" applyBorder="1" applyAlignment="1" applyProtection="1">
      <alignment horizontal="center"/>
      <protection locked="0"/>
    </xf>
    <xf numFmtId="4" fontId="4" fillId="0" borderId="20" xfId="0" applyNumberFormat="1" applyFont="1" applyFill="1" applyBorder="1" applyAlignment="1" applyProtection="1">
      <alignment horizontal="center"/>
      <protection locked="0"/>
    </xf>
    <xf numFmtId="0" fontId="4" fillId="39" borderId="11" xfId="0" applyNumberFormat="1" applyFont="1" applyFill="1" applyBorder="1" applyAlignment="1" applyProtection="1">
      <alignment horizontal="right"/>
      <protection/>
    </xf>
    <xf numFmtId="0" fontId="4" fillId="39" borderId="0" xfId="0" applyNumberFormat="1" applyFont="1" applyFill="1" applyBorder="1" applyAlignment="1" applyProtection="1">
      <alignment horizontal="right"/>
      <protection/>
    </xf>
    <xf numFmtId="0" fontId="4" fillId="39" borderId="21" xfId="0" applyNumberFormat="1" applyFont="1" applyFill="1" applyBorder="1" applyAlignment="1" applyProtection="1">
      <alignment horizontal="right"/>
      <protection/>
    </xf>
    <xf numFmtId="0" fontId="4" fillId="0" borderId="21" xfId="0" applyNumberFormat="1" applyFont="1" applyFill="1" applyBorder="1" applyAlignment="1" applyProtection="1">
      <alignment horizontal="right"/>
      <protection locked="0"/>
    </xf>
    <xf numFmtId="0" fontId="7" fillId="0" borderId="18" xfId="0" applyNumberFormat="1" applyFont="1" applyFill="1" applyBorder="1" applyAlignment="1" applyProtection="1">
      <alignment horizontal="center"/>
      <protection locked="0"/>
    </xf>
    <xf numFmtId="0" fontId="7" fillId="0" borderId="19" xfId="0" applyNumberFormat="1" applyFont="1" applyFill="1" applyBorder="1" applyAlignment="1" applyProtection="1">
      <alignment horizontal="center"/>
      <protection locked="0"/>
    </xf>
    <xf numFmtId="0" fontId="7" fillId="0" borderId="17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  <protection locked="0"/>
    </xf>
    <xf numFmtId="171" fontId="4" fillId="0" borderId="18" xfId="0" applyNumberFormat="1" applyFont="1" applyBorder="1" applyAlignment="1">
      <alignment horizontal="center"/>
    </xf>
    <xf numFmtId="171" fontId="4" fillId="0" borderId="19" xfId="0" applyNumberFormat="1" applyFont="1" applyBorder="1" applyAlignment="1">
      <alignment horizontal="center"/>
    </xf>
    <xf numFmtId="0" fontId="4" fillId="34" borderId="11" xfId="0" applyNumberFormat="1" applyFont="1" applyFill="1" applyBorder="1" applyAlignment="1" applyProtection="1">
      <alignment horizontal="right"/>
      <protection/>
    </xf>
    <xf numFmtId="0" fontId="4" fillId="34" borderId="0" xfId="0" applyNumberFormat="1" applyFont="1" applyFill="1" applyBorder="1" applyAlignment="1" applyProtection="1">
      <alignment horizontal="right"/>
      <protection/>
    </xf>
    <xf numFmtId="0" fontId="4" fillId="34" borderId="21" xfId="0" applyNumberFormat="1" applyFont="1" applyFill="1" applyBorder="1" applyAlignment="1" applyProtection="1">
      <alignment horizontal="right"/>
      <protection/>
    </xf>
    <xf numFmtId="0" fontId="4" fillId="40" borderId="22" xfId="0" applyFont="1" applyFill="1" applyBorder="1" applyAlignment="1">
      <alignment horizontal="center"/>
    </xf>
    <xf numFmtId="4" fontId="4" fillId="39" borderId="11" xfId="0" applyNumberFormat="1" applyFont="1" applyFill="1" applyBorder="1" applyAlignment="1" applyProtection="1">
      <alignment horizontal="right"/>
      <protection locked="0"/>
    </xf>
    <xf numFmtId="4" fontId="4" fillId="39" borderId="0" xfId="0" applyNumberFormat="1" applyFont="1" applyFill="1" applyBorder="1" applyAlignment="1" applyProtection="1">
      <alignment horizontal="right"/>
      <protection locked="0"/>
    </xf>
    <xf numFmtId="4" fontId="4" fillId="39" borderId="21" xfId="0" applyNumberFormat="1" applyFont="1" applyFill="1" applyBorder="1" applyAlignment="1" applyProtection="1">
      <alignment horizontal="right"/>
      <protection locked="0"/>
    </xf>
    <xf numFmtId="4" fontId="4" fillId="34" borderId="11" xfId="0" applyNumberFormat="1" applyFont="1" applyFill="1" applyBorder="1" applyAlignment="1" applyProtection="1">
      <alignment horizontal="right"/>
      <protection/>
    </xf>
    <xf numFmtId="4" fontId="4" fillId="34" borderId="0" xfId="0" applyNumberFormat="1" applyFont="1" applyFill="1" applyBorder="1" applyAlignment="1" applyProtection="1">
      <alignment horizontal="right"/>
      <protection/>
    </xf>
    <xf numFmtId="4" fontId="4" fillId="34" borderId="21" xfId="0" applyNumberFormat="1" applyFont="1" applyFill="1" applyBorder="1" applyAlignment="1" applyProtection="1">
      <alignment horizontal="right"/>
      <protection/>
    </xf>
    <xf numFmtId="0" fontId="4" fillId="0" borderId="18" xfId="0" applyNumberFormat="1" applyFont="1" applyFill="1" applyBorder="1" applyAlignment="1" applyProtection="1">
      <alignment horizontal="center"/>
      <protection locked="0"/>
    </xf>
    <xf numFmtId="0" fontId="4" fillId="0" borderId="19" xfId="0" applyNumberFormat="1" applyFont="1" applyFill="1" applyBorder="1" applyAlignment="1" applyProtection="1">
      <alignment horizontal="center"/>
      <protection locked="0"/>
    </xf>
    <xf numFmtId="0" fontId="4" fillId="0" borderId="17" xfId="0" applyNumberFormat="1" applyFont="1" applyFill="1" applyBorder="1" applyAlignment="1" applyProtection="1">
      <alignment horizontal="center"/>
      <protection locked="0"/>
    </xf>
    <xf numFmtId="0" fontId="7" fillId="34" borderId="18" xfId="0" applyNumberFormat="1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/>
    </xf>
    <xf numFmtId="4" fontId="1" fillId="0" borderId="18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0" fillId="0" borderId="19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10" fontId="1" fillId="0" borderId="0" xfId="0" applyNumberFormat="1" applyFont="1" applyBorder="1" applyAlignment="1">
      <alignment horizontal="center" vertical="center"/>
    </xf>
    <xf numFmtId="0" fontId="0" fillId="39" borderId="18" xfId="0" applyFill="1" applyBorder="1" applyAlignment="1">
      <alignment horizontal="center" vertical="center"/>
    </xf>
    <xf numFmtId="0" fontId="0" fillId="39" borderId="19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4" fillId="35" borderId="13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4" fontId="4" fillId="40" borderId="18" xfId="0" applyNumberFormat="1" applyFont="1" applyFill="1" applyBorder="1" applyAlignment="1">
      <alignment horizontal="center"/>
    </xf>
    <xf numFmtId="4" fontId="4" fillId="40" borderId="19" xfId="0" applyNumberFormat="1" applyFont="1" applyFill="1" applyBorder="1" applyAlignment="1">
      <alignment horizontal="center"/>
    </xf>
    <xf numFmtId="4" fontId="4" fillId="40" borderId="17" xfId="0" applyNumberFormat="1" applyFont="1" applyFill="1" applyBorder="1" applyAlignment="1">
      <alignment horizontal="center"/>
    </xf>
    <xf numFmtId="171" fontId="4" fillId="34" borderId="11" xfId="0" applyNumberFormat="1" applyFont="1" applyFill="1" applyBorder="1" applyAlignment="1">
      <alignment horizontal="left" vertical="center" wrapText="1"/>
    </xf>
    <xf numFmtId="171" fontId="4" fillId="33" borderId="0" xfId="0" applyNumberFormat="1" applyFont="1" applyFill="1" applyBorder="1" applyAlignment="1">
      <alignment horizontal="left" vertical="center" wrapText="1"/>
    </xf>
    <xf numFmtId="171" fontId="4" fillId="33" borderId="0" xfId="0" applyNumberFormat="1" applyFont="1" applyFill="1" applyBorder="1" applyAlignment="1">
      <alignment horizontal="right" vertical="center" wrapText="1"/>
    </xf>
    <xf numFmtId="4" fontId="4" fillId="34" borderId="0" xfId="0" applyNumberFormat="1" applyFont="1" applyFill="1" applyBorder="1" applyAlignment="1">
      <alignment horizontal="right" vertical="center" wrapText="1"/>
    </xf>
    <xf numFmtId="0" fontId="4" fillId="35" borderId="11" xfId="0" applyFont="1" applyFill="1" applyBorder="1" applyAlignment="1">
      <alignment horizontal="left" vertical="center" wrapText="1"/>
    </xf>
    <xf numFmtId="4" fontId="4" fillId="35" borderId="21" xfId="0" applyNumberFormat="1" applyFont="1" applyFill="1" applyBorder="1" applyAlignment="1">
      <alignment horizontal="right"/>
    </xf>
    <xf numFmtId="0" fontId="4" fillId="35" borderId="11" xfId="0" applyFont="1" applyFill="1" applyBorder="1" applyAlignment="1">
      <alignment horizontal="center" wrapText="1"/>
    </xf>
    <xf numFmtId="4" fontId="4" fillId="35" borderId="21" xfId="0" applyNumberFormat="1" applyFont="1" applyFill="1" applyBorder="1" applyAlignment="1">
      <alignment horizontal="center" vertical="center"/>
    </xf>
    <xf numFmtId="0" fontId="7" fillId="41" borderId="16" xfId="0" applyFont="1" applyFill="1" applyBorder="1" applyAlignment="1">
      <alignment horizontal="center"/>
    </xf>
    <xf numFmtId="0" fontId="7" fillId="41" borderId="22" xfId="0" applyFont="1" applyFill="1" applyBorder="1" applyAlignment="1">
      <alignment horizontal="center"/>
    </xf>
    <xf numFmtId="0" fontId="7" fillId="41" borderId="19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4" fontId="4" fillId="40" borderId="10" xfId="0" applyNumberFormat="1" applyFont="1" applyFill="1" applyBorder="1" applyAlignment="1">
      <alignment horizontal="center"/>
    </xf>
    <xf numFmtId="4" fontId="4" fillId="40" borderId="15" xfId="0" applyNumberFormat="1" applyFont="1" applyFill="1" applyBorder="1" applyAlignment="1">
      <alignment horizontal="center"/>
    </xf>
    <xf numFmtId="4" fontId="4" fillId="34" borderId="18" xfId="0" applyNumberFormat="1" applyFont="1" applyFill="1" applyBorder="1" applyAlignment="1">
      <alignment horizontal="center"/>
    </xf>
    <xf numFmtId="4" fontId="4" fillId="34" borderId="19" xfId="0" applyNumberFormat="1" applyFont="1" applyFill="1" applyBorder="1" applyAlignment="1">
      <alignment horizontal="center"/>
    </xf>
    <xf numFmtId="4" fontId="4" fillId="34" borderId="17" xfId="0" applyNumberFormat="1" applyFont="1" applyFill="1" applyBorder="1" applyAlignment="1">
      <alignment horizontal="center"/>
    </xf>
    <xf numFmtId="4" fontId="4" fillId="33" borderId="18" xfId="0" applyNumberFormat="1" applyFont="1" applyFill="1" applyBorder="1" applyAlignment="1">
      <alignment horizontal="center"/>
    </xf>
    <xf numFmtId="4" fontId="4" fillId="33" borderId="19" xfId="0" applyNumberFormat="1" applyFont="1" applyFill="1" applyBorder="1" applyAlignment="1">
      <alignment horizontal="center"/>
    </xf>
    <xf numFmtId="4" fontId="4" fillId="33" borderId="17" xfId="0" applyNumberFormat="1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4" fontId="4" fillId="33" borderId="15" xfId="0" applyNumberFormat="1" applyFont="1" applyFill="1" applyBorder="1" applyAlignment="1">
      <alignment horizontal="left" vertical="center" wrapText="1"/>
    </xf>
    <xf numFmtId="4" fontId="4" fillId="33" borderId="0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center" vertical="center"/>
    </xf>
    <xf numFmtId="4" fontId="4" fillId="34" borderId="15" xfId="0" applyNumberFormat="1" applyFont="1" applyFill="1" applyBorder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4" fontId="4" fillId="35" borderId="0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5" borderId="15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4" fontId="4" fillId="35" borderId="0" xfId="0" applyNumberFormat="1" applyFont="1" applyFill="1" applyBorder="1" applyAlignment="1">
      <alignment horizontal="right"/>
    </xf>
    <xf numFmtId="0" fontId="7" fillId="41" borderId="18" xfId="0" applyFont="1" applyFill="1" applyBorder="1" applyAlignment="1">
      <alignment horizontal="center"/>
    </xf>
    <xf numFmtId="0" fontId="7" fillId="41" borderId="17" xfId="0" applyFont="1" applyFill="1" applyBorder="1" applyAlignment="1">
      <alignment horizontal="center"/>
    </xf>
    <xf numFmtId="0" fontId="7" fillId="41" borderId="11" xfId="0" applyFont="1" applyFill="1" applyBorder="1" applyAlignment="1">
      <alignment horizontal="center"/>
    </xf>
    <xf numFmtId="0" fontId="7" fillId="41" borderId="0" xfId="0" applyFont="1" applyFill="1" applyBorder="1" applyAlignment="1">
      <alignment horizontal="center"/>
    </xf>
    <xf numFmtId="0" fontId="7" fillId="41" borderId="23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9" borderId="18" xfId="0" applyFont="1" applyFill="1" applyBorder="1" applyAlignment="1">
      <alignment horizontal="center"/>
    </xf>
    <xf numFmtId="0" fontId="4" fillId="39" borderId="19" xfId="0" applyFont="1" applyFill="1" applyBorder="1" applyAlignment="1">
      <alignment horizontal="center"/>
    </xf>
    <xf numFmtId="0" fontId="4" fillId="39" borderId="17" xfId="0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left" vertical="center" wrapText="1"/>
    </xf>
    <xf numFmtId="0" fontId="4" fillId="34" borderId="11" xfId="0" applyNumberFormat="1" applyFont="1" applyFill="1" applyBorder="1" applyAlignment="1">
      <alignment horizontal="left" vertical="center" wrapText="1"/>
    </xf>
    <xf numFmtId="4" fontId="4" fillId="40" borderId="16" xfId="0" applyNumberFormat="1" applyFont="1" applyFill="1" applyBorder="1" applyAlignment="1">
      <alignment horizontal="center"/>
    </xf>
    <xf numFmtId="4" fontId="4" fillId="40" borderId="22" xfId="0" applyNumberFormat="1" applyFont="1" applyFill="1" applyBorder="1" applyAlignment="1">
      <alignment horizontal="center"/>
    </xf>
    <xf numFmtId="4" fontId="4" fillId="40" borderId="0" xfId="0" applyNumberFormat="1" applyFont="1" applyFill="1" applyBorder="1" applyAlignment="1">
      <alignment horizontal="center"/>
    </xf>
    <xf numFmtId="4" fontId="4" fillId="40" borderId="21" xfId="0" applyNumberFormat="1" applyFont="1" applyFill="1" applyBorder="1" applyAlignment="1">
      <alignment horizontal="center"/>
    </xf>
    <xf numFmtId="4" fontId="4" fillId="34" borderId="11" xfId="0" applyNumberFormat="1" applyFont="1" applyFill="1" applyBorder="1" applyAlignment="1">
      <alignment horizontal="center"/>
    </xf>
    <xf numFmtId="4" fontId="4" fillId="34" borderId="0" xfId="0" applyNumberFormat="1" applyFont="1" applyFill="1" applyBorder="1" applyAlignment="1">
      <alignment horizontal="center"/>
    </xf>
    <xf numFmtId="4" fontId="4" fillId="34" borderId="21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center"/>
    </xf>
    <xf numFmtId="4" fontId="4" fillId="33" borderId="21" xfId="0" applyNumberFormat="1" applyFont="1" applyFill="1" applyBorder="1" applyAlignment="1">
      <alignment horizontal="center"/>
    </xf>
    <xf numFmtId="4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center"/>
    </xf>
    <xf numFmtId="4" fontId="11" fillId="0" borderId="17" xfId="0" applyNumberFormat="1" applyFont="1" applyBorder="1" applyAlignment="1">
      <alignment horizontal="center"/>
    </xf>
    <xf numFmtId="4" fontId="11" fillId="34" borderId="18" xfId="0" applyNumberFormat="1" applyFont="1" applyFill="1" applyBorder="1" applyAlignment="1">
      <alignment horizontal="center"/>
    </xf>
    <xf numFmtId="4" fontId="11" fillId="34" borderId="19" xfId="0" applyNumberFormat="1" applyFont="1" applyFill="1" applyBorder="1" applyAlignment="1">
      <alignment horizontal="center"/>
    </xf>
    <xf numFmtId="4" fontId="11" fillId="34" borderId="17" xfId="0" applyNumberFormat="1" applyFont="1" applyFill="1" applyBorder="1" applyAlignment="1">
      <alignment horizontal="center"/>
    </xf>
    <xf numFmtId="4" fontId="11" fillId="0" borderId="12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14" fillId="33" borderId="94" xfId="0" applyNumberFormat="1" applyFont="1" applyFill="1" applyBorder="1" applyAlignment="1">
      <alignment horizontal="center"/>
    </xf>
    <xf numFmtId="4" fontId="14" fillId="33" borderId="19" xfId="0" applyNumberFormat="1" applyFont="1" applyFill="1" applyBorder="1" applyAlignment="1">
      <alignment horizontal="center"/>
    </xf>
    <xf numFmtId="4" fontId="14" fillId="33" borderId="49" xfId="0" applyNumberFormat="1" applyFont="1" applyFill="1" applyBorder="1" applyAlignment="1">
      <alignment horizontal="center"/>
    </xf>
    <xf numFmtId="4" fontId="14" fillId="33" borderId="105" xfId="0" applyNumberFormat="1" applyFont="1" applyFill="1" applyBorder="1" applyAlignment="1">
      <alignment horizontal="center"/>
    </xf>
    <xf numFmtId="4" fontId="14" fillId="33" borderId="22" xfId="0" applyNumberFormat="1" applyFont="1" applyFill="1" applyBorder="1" applyAlignment="1">
      <alignment horizontal="center"/>
    </xf>
    <xf numFmtId="4" fontId="14" fillId="33" borderId="48" xfId="0" applyNumberFormat="1" applyFont="1" applyFill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/>
    </xf>
    <xf numFmtId="4" fontId="11" fillId="0" borderId="15" xfId="0" applyNumberFormat="1" applyFont="1" applyBorder="1" applyAlignment="1">
      <alignment horizontal="center"/>
    </xf>
    <xf numFmtId="4" fontId="11" fillId="39" borderId="69" xfId="0" applyNumberFormat="1" applyFont="1" applyFill="1" applyBorder="1" applyAlignment="1">
      <alignment horizontal="center"/>
    </xf>
    <xf numFmtId="4" fontId="11" fillId="39" borderId="55" xfId="0" applyNumberFormat="1" applyFont="1" applyFill="1" applyBorder="1" applyAlignment="1">
      <alignment horizontal="center"/>
    </xf>
    <xf numFmtId="4" fontId="11" fillId="40" borderId="108" xfId="0" applyNumberFormat="1" applyFont="1" applyFill="1" applyBorder="1" applyAlignment="1">
      <alignment horizontal="center"/>
    </xf>
    <xf numFmtId="4" fontId="11" fillId="40" borderId="62" xfId="0" applyNumberFormat="1" applyFont="1" applyFill="1" applyBorder="1" applyAlignment="1">
      <alignment horizontal="center"/>
    </xf>
    <xf numFmtId="4" fontId="14" fillId="39" borderId="69" xfId="0" applyNumberFormat="1" applyFont="1" applyFill="1" applyBorder="1" applyAlignment="1">
      <alignment horizontal="center"/>
    </xf>
    <xf numFmtId="4" fontId="14" fillId="39" borderId="55" xfId="0" applyNumberFormat="1" applyFont="1" applyFill="1" applyBorder="1" applyAlignment="1">
      <alignment horizontal="center"/>
    </xf>
    <xf numFmtId="4" fontId="14" fillId="39" borderId="70" xfId="0" applyNumberFormat="1" applyFont="1" applyFill="1" applyBorder="1" applyAlignment="1">
      <alignment horizontal="center"/>
    </xf>
    <xf numFmtId="4" fontId="11" fillId="0" borderId="52" xfId="0" applyNumberFormat="1" applyFont="1" applyBorder="1" applyAlignment="1">
      <alignment horizontal="center"/>
    </xf>
    <xf numFmtId="4" fontId="14" fillId="40" borderId="108" xfId="0" applyNumberFormat="1" applyFont="1" applyFill="1" applyBorder="1" applyAlignment="1">
      <alignment horizontal="center"/>
    </xf>
    <xf numFmtId="4" fontId="14" fillId="40" borderId="62" xfId="0" applyNumberFormat="1" applyFont="1" applyFill="1" applyBorder="1" applyAlignment="1">
      <alignment horizontal="center"/>
    </xf>
    <xf numFmtId="4" fontId="14" fillId="40" borderId="63" xfId="0" applyNumberFormat="1" applyFont="1" applyFill="1" applyBorder="1" applyAlignment="1">
      <alignment horizontal="center"/>
    </xf>
    <xf numFmtId="4" fontId="14" fillId="40" borderId="55" xfId="0" applyNumberFormat="1" applyFont="1" applyFill="1" applyBorder="1" applyAlignment="1">
      <alignment horizontal="center"/>
    </xf>
    <xf numFmtId="4" fontId="14" fillId="39" borderId="65" xfId="0" applyNumberFormat="1" applyFont="1" applyFill="1" applyBorder="1" applyAlignment="1">
      <alignment horizontal="center"/>
    </xf>
    <xf numFmtId="4" fontId="14" fillId="39" borderId="66" xfId="0" applyNumberFormat="1" applyFont="1" applyFill="1" applyBorder="1" applyAlignment="1">
      <alignment horizontal="center"/>
    </xf>
    <xf numFmtId="4" fontId="14" fillId="39" borderId="153" xfId="0" applyNumberFormat="1" applyFont="1" applyFill="1" applyBorder="1" applyAlignment="1">
      <alignment horizontal="center"/>
    </xf>
    <xf numFmtId="4" fontId="11" fillId="33" borderId="56" xfId="0" applyNumberFormat="1" applyFont="1" applyFill="1" applyBorder="1" applyAlignment="1">
      <alignment horizontal="center"/>
    </xf>
    <xf numFmtId="4" fontId="11" fillId="33" borderId="15" xfId="0" applyNumberFormat="1" applyFont="1" applyFill="1" applyBorder="1" applyAlignment="1">
      <alignment horizontal="center"/>
    </xf>
    <xf numFmtId="4" fontId="11" fillId="33" borderId="65" xfId="0" applyNumberFormat="1" applyFont="1" applyFill="1" applyBorder="1" applyAlignment="1">
      <alignment horizontal="center"/>
    </xf>
    <xf numFmtId="4" fontId="11" fillId="33" borderId="66" xfId="0" applyNumberFormat="1" applyFont="1" applyFill="1" applyBorder="1" applyAlignment="1">
      <alignment horizontal="center"/>
    </xf>
    <xf numFmtId="4" fontId="11" fillId="33" borderId="153" xfId="0" applyNumberFormat="1" applyFont="1" applyFill="1" applyBorder="1" applyAlignment="1">
      <alignment horizontal="center"/>
    </xf>
    <xf numFmtId="4" fontId="14" fillId="33" borderId="65" xfId="0" applyNumberFormat="1" applyFont="1" applyFill="1" applyBorder="1" applyAlignment="1">
      <alignment horizontal="center"/>
    </xf>
    <xf numFmtId="4" fontId="14" fillId="33" borderId="66" xfId="0" applyNumberFormat="1" applyFont="1" applyFill="1" applyBorder="1" applyAlignment="1">
      <alignment horizontal="center"/>
    </xf>
    <xf numFmtId="4" fontId="11" fillId="0" borderId="65" xfId="0" applyNumberFormat="1" applyFont="1" applyFill="1" applyBorder="1" applyAlignment="1">
      <alignment horizontal="center" wrapText="1"/>
    </xf>
    <xf numFmtId="4" fontId="11" fillId="0" borderId="66" xfId="0" applyNumberFormat="1" applyFont="1" applyFill="1" applyBorder="1" applyAlignment="1">
      <alignment horizontal="center" wrapText="1"/>
    </xf>
    <xf numFmtId="4" fontId="11" fillId="39" borderId="65" xfId="0" applyNumberFormat="1" applyFont="1" applyFill="1" applyBorder="1" applyAlignment="1">
      <alignment horizontal="center"/>
    </xf>
    <xf numFmtId="4" fontId="11" fillId="39" borderId="66" xfId="0" applyNumberFormat="1" applyFont="1" applyFill="1" applyBorder="1" applyAlignment="1">
      <alignment horizontal="center"/>
    </xf>
    <xf numFmtId="4" fontId="14" fillId="40" borderId="65" xfId="0" applyNumberFormat="1" applyFont="1" applyFill="1" applyBorder="1" applyAlignment="1">
      <alignment horizontal="center"/>
    </xf>
    <xf numFmtId="4" fontId="14" fillId="40" borderId="66" xfId="0" applyNumberFormat="1" applyFont="1" applyFill="1" applyBorder="1" applyAlignment="1">
      <alignment horizontal="center"/>
    </xf>
    <xf numFmtId="4" fontId="14" fillId="40" borderId="153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 quotePrefix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15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4" fontId="11" fillId="0" borderId="11" xfId="0" applyNumberFormat="1" applyFont="1" applyFill="1" applyBorder="1" applyAlignment="1">
      <alignment/>
    </xf>
    <xf numFmtId="4" fontId="11" fillId="0" borderId="21" xfId="0" applyNumberFormat="1" applyFont="1" applyFill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39" borderId="10" xfId="0" applyFont="1" applyFill="1" applyBorder="1" applyAlignment="1">
      <alignment horizontal="center"/>
    </xf>
    <xf numFmtId="0" fontId="11" fillId="39" borderId="15" xfId="0" applyFont="1" applyFill="1" applyBorder="1" applyAlignment="1">
      <alignment horizontal="center"/>
    </xf>
    <xf numFmtId="0" fontId="11" fillId="39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4" fontId="11" fillId="39" borderId="153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/>
    </xf>
    <xf numFmtId="4" fontId="11" fillId="0" borderId="20" xfId="0" applyNumberFormat="1" applyFont="1" applyFill="1" applyBorder="1" applyAlignment="1">
      <alignment/>
    </xf>
    <xf numFmtId="0" fontId="4" fillId="39" borderId="10" xfId="0" applyFont="1" applyFill="1" applyBorder="1" applyAlignment="1">
      <alignment horizontal="center"/>
    </xf>
    <xf numFmtId="0" fontId="4" fillId="39" borderId="15" xfId="0" applyFont="1" applyFill="1" applyBorder="1" applyAlignment="1">
      <alignment horizontal="center"/>
    </xf>
    <xf numFmtId="0" fontId="4" fillId="39" borderId="20" xfId="0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0" fontId="7" fillId="39" borderId="18" xfId="0" applyFont="1" applyFill="1" applyBorder="1" applyAlignment="1">
      <alignment horizontal="center"/>
    </xf>
    <xf numFmtId="0" fontId="7" fillId="39" borderId="19" xfId="0" applyFont="1" applyFill="1" applyBorder="1" applyAlignment="1">
      <alignment horizontal="center"/>
    </xf>
    <xf numFmtId="0" fontId="7" fillId="39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/>
    </xf>
    <xf numFmtId="0" fontId="7" fillId="39" borderId="15" xfId="0" applyFont="1" applyFill="1" applyBorder="1" applyAlignment="1">
      <alignment horizontal="center"/>
    </xf>
    <xf numFmtId="0" fontId="7" fillId="39" borderId="20" xfId="0" applyFont="1" applyFill="1" applyBorder="1" applyAlignment="1">
      <alignment horizontal="center"/>
    </xf>
    <xf numFmtId="0" fontId="4" fillId="39" borderId="0" xfId="0" applyFont="1" applyFill="1" applyBorder="1" applyAlignment="1">
      <alignment horizontal="center"/>
    </xf>
    <xf numFmtId="0" fontId="4" fillId="39" borderId="2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171" fontId="4" fillId="34" borderId="0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9E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2B2B2"/>
      <rgbColor rgb="009999FF"/>
      <rgbColor rgb="00993366"/>
      <rgbColor rgb="00FFFFCC"/>
      <rgbColor rgb="00CCFFFF"/>
      <rgbColor rgb="00660066"/>
      <rgbColor rgb="00FDB9B9"/>
      <rgbColor rgb="000066CC"/>
      <rgbColor rgb="00D9E8FF"/>
      <rgbColor rgb="00000080"/>
      <rgbColor rgb="00FFD9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96969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23</xdr:row>
      <xdr:rowOff>0</xdr:rowOff>
    </xdr:from>
    <xdr:to>
      <xdr:col>1</xdr:col>
      <xdr:colOff>695325</xdr:colOff>
      <xdr:row>28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4895850"/>
          <a:ext cx="6762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Sur Immo</a:t>
          </a:r>
        </a:p>
      </xdr:txBody>
    </xdr:sp>
    <xdr:clientData/>
  </xdr:twoCellAnchor>
  <xdr:twoCellAnchor>
    <xdr:from>
      <xdr:col>1</xdr:col>
      <xdr:colOff>600075</xdr:colOff>
      <xdr:row>23</xdr:row>
      <xdr:rowOff>0</xdr:rowOff>
    </xdr:from>
    <xdr:to>
      <xdr:col>1</xdr:col>
      <xdr:colOff>704850</xdr:colOff>
      <xdr:row>29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9150" y="4895850"/>
          <a:ext cx="104775" cy="971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714375</xdr:colOff>
      <xdr:row>23</xdr:row>
      <xdr:rowOff>0</xdr:rowOff>
    </xdr:from>
    <xdr:to>
      <xdr:col>2</xdr:col>
      <xdr:colOff>76200</xdr:colOff>
      <xdr:row>29</xdr:row>
      <xdr:rowOff>38100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33450" y="4895850"/>
          <a:ext cx="14287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- Incorporelle
</a:t>
          </a:r>
          <a:r>
            <a:rPr lang="en-US" cap="none" sz="10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- Corporelle
</a:t>
          </a:r>
          <a:r>
            <a:rPr lang="en-US" cap="none" sz="10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- Titre mis en équivalence
</a:t>
          </a:r>
          <a:r>
            <a:rPr lang="en-US" cap="none" sz="10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- Titres de participation
</a:t>
          </a:r>
          <a:r>
            <a:rPr lang="en-US" cap="none" sz="10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- Autre immobilisation</a:t>
          </a:r>
        </a:p>
      </xdr:txBody>
    </xdr:sp>
    <xdr:clientData/>
  </xdr:twoCellAnchor>
  <xdr:twoCellAnchor>
    <xdr:from>
      <xdr:col>2</xdr:col>
      <xdr:colOff>9525</xdr:colOff>
      <xdr:row>33</xdr:row>
      <xdr:rowOff>152400</xdr:rowOff>
    </xdr:from>
    <xdr:to>
      <xdr:col>2</xdr:col>
      <xdr:colOff>904875</xdr:colOff>
      <xdr:row>36</xdr:row>
      <xdr:rowOff>142875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2295525" y="6667500"/>
          <a:ext cx="8953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-D'exploitation
</a:t>
          </a:r>
          <a:r>
            <a:rPr lang="en-US" cap="none" sz="10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- financières
</a:t>
          </a:r>
          <a:r>
            <a:rPr lang="en-US" cap="none" sz="10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- exceptionnel</a:t>
          </a:r>
        </a:p>
      </xdr:txBody>
    </xdr:sp>
    <xdr:clientData/>
  </xdr:twoCellAnchor>
  <xdr:twoCellAnchor>
    <xdr:from>
      <xdr:col>1</xdr:col>
      <xdr:colOff>1943100</xdr:colOff>
      <xdr:row>34</xdr:row>
      <xdr:rowOff>28575</xdr:rowOff>
    </xdr:from>
    <xdr:to>
      <xdr:col>2</xdr:col>
      <xdr:colOff>38100</xdr:colOff>
      <xdr:row>36</xdr:row>
      <xdr:rowOff>152400</xdr:rowOff>
    </xdr:to>
    <xdr:sp>
      <xdr:nvSpPr>
        <xdr:cNvPr id="5" name="AutoShape 8"/>
        <xdr:cNvSpPr>
          <a:spLocks/>
        </xdr:cNvSpPr>
      </xdr:nvSpPr>
      <xdr:spPr>
        <a:xfrm>
          <a:off x="2162175" y="6705600"/>
          <a:ext cx="161925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3</xdr:row>
      <xdr:rowOff>0</xdr:rowOff>
    </xdr:from>
    <xdr:to>
      <xdr:col>2</xdr:col>
      <xdr:colOff>590550</xdr:colOff>
      <xdr:row>4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1638300" y="485775"/>
          <a:ext cx="7620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685800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57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6</xdr:col>
      <xdr:colOff>714375</xdr:colOff>
      <xdr:row>59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48750"/>
          <a:ext cx="6686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666750</xdr:colOff>
      <xdr:row>0</xdr:row>
      <xdr:rowOff>66675</xdr:rowOff>
    </xdr:from>
    <xdr:to>
      <xdr:col>6</xdr:col>
      <xdr:colOff>247650</xdr:colOff>
      <xdr:row>3</xdr:row>
      <xdr:rowOff>114300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76825" y="66675"/>
          <a:ext cx="11430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96969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96969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969696"/>
              </a:solidFill>
              <a:latin typeface="Times New Roman"/>
              <a:ea typeface="Times New Roman"/>
              <a:cs typeface="Times New Roman"/>
            </a:rPr>
            <a:t>2052</a:t>
          </a:r>
        </a:p>
      </xdr:txBody>
    </xdr:sp>
    <xdr:clientData/>
  </xdr:twoCellAnchor>
  <xdr:twoCellAnchor>
    <xdr:from>
      <xdr:col>4</xdr:col>
      <xdr:colOff>571500</xdr:colOff>
      <xdr:row>55</xdr:row>
      <xdr:rowOff>38100</xdr:rowOff>
    </xdr:from>
    <xdr:to>
      <xdr:col>6</xdr:col>
      <xdr:colOff>504825</xdr:colOff>
      <xdr:row>58</xdr:row>
      <xdr:rowOff>66675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4981575" y="9086850"/>
          <a:ext cx="14954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96969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96969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969696"/>
              </a:solidFill>
              <a:latin typeface="Times New Roman"/>
              <a:ea typeface="Times New Roman"/>
              <a:cs typeface="Times New Roman"/>
            </a:rPr>
            <a:t>2053</a:t>
          </a:r>
        </a:p>
      </xdr:txBody>
    </xdr:sp>
    <xdr:clientData/>
  </xdr:twoCellAnchor>
  <xdr:twoCellAnchor>
    <xdr:from>
      <xdr:col>2</xdr:col>
      <xdr:colOff>266700</xdr:colOff>
      <xdr:row>0</xdr:row>
      <xdr:rowOff>76200</xdr:rowOff>
    </xdr:from>
    <xdr:to>
      <xdr:col>3</xdr:col>
      <xdr:colOff>66675</xdr:colOff>
      <xdr:row>3</xdr:row>
      <xdr:rowOff>66675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457325" y="76200"/>
          <a:ext cx="220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SA OPTIMEX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63</xdr:row>
      <xdr:rowOff>28575</xdr:rowOff>
    </xdr:from>
    <xdr:to>
      <xdr:col>5</xdr:col>
      <xdr:colOff>628650</xdr:colOff>
      <xdr:row>65</xdr:row>
      <xdr:rowOff>142875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057900" y="10229850"/>
          <a:ext cx="4381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       
</a:t>
          </a:r>
          <a:r>
            <a:rPr lang="en-US" cap="none" sz="10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  Dont</a:t>
          </a:r>
        </a:p>
      </xdr:txBody>
    </xdr:sp>
    <xdr:clientData/>
  </xdr:twoCellAnchor>
  <xdr:twoCellAnchor>
    <xdr:from>
      <xdr:col>5</xdr:col>
      <xdr:colOff>200025</xdr:colOff>
      <xdr:row>63</xdr:row>
      <xdr:rowOff>9525</xdr:rowOff>
    </xdr:from>
    <xdr:to>
      <xdr:col>5</xdr:col>
      <xdr:colOff>276225</xdr:colOff>
      <xdr:row>65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6067425" y="1021080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733425</xdr:colOff>
      <xdr:row>62</xdr:row>
      <xdr:rowOff>142875</xdr:rowOff>
    </xdr:from>
    <xdr:to>
      <xdr:col>5</xdr:col>
      <xdr:colOff>2419350</xdr:colOff>
      <xdr:row>65</xdr:row>
      <xdr:rowOff>142875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600825" y="10182225"/>
          <a:ext cx="1685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Réserve spéciale de réévaluation
</a:t>
          </a:r>
          <a:r>
            <a:rPr lang="en-US" cap="none" sz="10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Ecart de réévaluation libre
</a:t>
          </a:r>
          <a:r>
            <a:rPr lang="en-US" cap="none" sz="10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Réserve de réévaluation (1976)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21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2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6:H35"/>
  <sheetViews>
    <sheetView tabSelected="1" zoomScalePageLayoutView="0" workbookViewId="0" topLeftCell="A1">
      <selection activeCell="C21" sqref="C21"/>
    </sheetView>
  </sheetViews>
  <sheetFormatPr defaultColWidth="11.421875" defaultRowHeight="12.75"/>
  <cols>
    <col min="3" max="3" width="50.57421875" style="0" customWidth="1"/>
  </cols>
  <sheetData>
    <row r="6" spans="2:8" ht="12.75">
      <c r="B6" s="947"/>
      <c r="C6" s="1470" t="s">
        <v>845</v>
      </c>
      <c r="D6" s="1470"/>
      <c r="E6" s="948"/>
      <c r="F6" s="453"/>
      <c r="G6" s="453"/>
      <c r="H6" s="453"/>
    </row>
    <row r="7" spans="2:8" ht="12.75">
      <c r="B7" s="949"/>
      <c r="C7" s="950"/>
      <c r="D7" s="950"/>
      <c r="E7" s="951"/>
      <c r="F7" s="914"/>
      <c r="G7" s="914"/>
      <c r="H7" s="914"/>
    </row>
    <row r="8" spans="2:8" ht="12.75">
      <c r="B8" s="949"/>
      <c r="C8" s="950" t="s">
        <v>889</v>
      </c>
      <c r="D8" s="950" t="s">
        <v>888</v>
      </c>
      <c r="E8" s="951"/>
      <c r="F8" s="914"/>
      <c r="G8" s="914"/>
      <c r="H8" s="914"/>
    </row>
    <row r="9" spans="2:5" ht="12.75">
      <c r="B9" s="949"/>
      <c r="C9" s="957" t="s">
        <v>842</v>
      </c>
      <c r="D9" s="952" t="s">
        <v>887</v>
      </c>
      <c r="E9" s="953"/>
    </row>
    <row r="10" spans="2:5" ht="12.75">
      <c r="B10" s="949"/>
      <c r="C10" s="957" t="s">
        <v>843</v>
      </c>
      <c r="D10" s="952" t="s">
        <v>890</v>
      </c>
      <c r="E10" s="953"/>
    </row>
    <row r="11" spans="2:5" ht="12.75">
      <c r="B11" s="949"/>
      <c r="C11" s="957" t="s">
        <v>844</v>
      </c>
      <c r="D11" s="952" t="s">
        <v>891</v>
      </c>
      <c r="E11" s="953"/>
    </row>
    <row r="12" spans="2:5" ht="12.75">
      <c r="B12" s="949"/>
      <c r="C12" s="957" t="s">
        <v>846</v>
      </c>
      <c r="D12" s="952" t="s">
        <v>263</v>
      </c>
      <c r="E12" s="953"/>
    </row>
    <row r="13" spans="2:5" ht="12.75">
      <c r="B13" s="949"/>
      <c r="C13" s="957" t="s">
        <v>847</v>
      </c>
      <c r="D13" s="952" t="s">
        <v>892</v>
      </c>
      <c r="E13" s="953"/>
    </row>
    <row r="14" spans="2:5" ht="12.75">
      <c r="B14" s="949"/>
      <c r="C14" s="957" t="s">
        <v>848</v>
      </c>
      <c r="D14" s="952" t="s">
        <v>893</v>
      </c>
      <c r="E14" s="953"/>
    </row>
    <row r="15" spans="2:5" ht="12.75">
      <c r="B15" s="949"/>
      <c r="C15" s="957" t="s">
        <v>849</v>
      </c>
      <c r="D15" s="952" t="s">
        <v>894</v>
      </c>
      <c r="E15" s="953"/>
    </row>
    <row r="16" spans="2:5" ht="12.75">
      <c r="B16" s="949"/>
      <c r="C16" s="957" t="s">
        <v>850</v>
      </c>
      <c r="D16" s="952" t="s">
        <v>895</v>
      </c>
      <c r="E16" s="953"/>
    </row>
    <row r="17" spans="2:5" ht="12.75">
      <c r="B17" s="949"/>
      <c r="C17" s="957"/>
      <c r="D17" s="952"/>
      <c r="E17" s="953"/>
    </row>
    <row r="18" spans="2:5" ht="12.75">
      <c r="B18" s="949"/>
      <c r="C18" s="957"/>
      <c r="D18" s="952"/>
      <c r="E18" s="953"/>
    </row>
    <row r="19" spans="2:5" ht="12.75">
      <c r="B19" s="949"/>
      <c r="C19" s="957"/>
      <c r="D19" s="952"/>
      <c r="E19" s="953"/>
    </row>
    <row r="20" spans="2:5" ht="12.75">
      <c r="B20" s="949"/>
      <c r="C20" s="957"/>
      <c r="D20" s="952"/>
      <c r="E20" s="953"/>
    </row>
    <row r="21" spans="2:5" ht="12.75">
      <c r="B21" s="949"/>
      <c r="C21" s="957" t="s">
        <v>851</v>
      </c>
      <c r="D21" s="952" t="s">
        <v>896</v>
      </c>
      <c r="E21" s="953"/>
    </row>
    <row r="22" spans="2:5" ht="12.75">
      <c r="B22" s="949"/>
      <c r="C22" s="957" t="s">
        <v>875</v>
      </c>
      <c r="D22" s="952" t="s">
        <v>818</v>
      </c>
      <c r="E22" s="953"/>
    </row>
    <row r="23" spans="2:5" ht="12.75">
      <c r="B23" s="949"/>
      <c r="C23" s="957" t="s">
        <v>876</v>
      </c>
      <c r="D23" s="952" t="s">
        <v>897</v>
      </c>
      <c r="E23" s="953"/>
    </row>
    <row r="24" spans="2:5" ht="12.75">
      <c r="B24" s="949"/>
      <c r="C24" s="957" t="s">
        <v>877</v>
      </c>
      <c r="D24" s="952" t="s">
        <v>898</v>
      </c>
      <c r="E24" s="953"/>
    </row>
    <row r="25" spans="2:5" ht="12.75">
      <c r="B25" s="949"/>
      <c r="C25" s="957" t="s">
        <v>878</v>
      </c>
      <c r="D25" s="952" t="s">
        <v>899</v>
      </c>
      <c r="E25" s="953"/>
    </row>
    <row r="26" spans="2:5" ht="12.75">
      <c r="B26" s="949"/>
      <c r="C26" s="957" t="s">
        <v>879</v>
      </c>
      <c r="D26" s="952" t="s">
        <v>900</v>
      </c>
      <c r="E26" s="953"/>
    </row>
    <row r="27" spans="2:5" ht="12.75">
      <c r="B27" s="949"/>
      <c r="C27" s="957" t="s">
        <v>880</v>
      </c>
      <c r="D27" s="952" t="s">
        <v>646</v>
      </c>
      <c r="E27" s="953"/>
    </row>
    <row r="28" spans="2:5" ht="12.75">
      <c r="B28" s="949"/>
      <c r="C28" s="952" t="s">
        <v>881</v>
      </c>
      <c r="D28" s="952" t="s">
        <v>901</v>
      </c>
      <c r="E28" s="953"/>
    </row>
    <row r="29" spans="2:5" ht="12.75">
      <c r="B29" s="949"/>
      <c r="C29" s="957" t="s">
        <v>882</v>
      </c>
      <c r="D29" s="952" t="s">
        <v>45</v>
      </c>
      <c r="E29" s="953"/>
    </row>
    <row r="30" spans="2:5" ht="12.75">
      <c r="B30" s="949"/>
      <c r="C30" s="957" t="s">
        <v>883</v>
      </c>
      <c r="D30" s="952" t="s">
        <v>902</v>
      </c>
      <c r="E30" s="953"/>
    </row>
    <row r="31" spans="2:5" ht="12.75">
      <c r="B31" s="949"/>
      <c r="C31" s="957" t="s">
        <v>884</v>
      </c>
      <c r="D31" s="952" t="s">
        <v>903</v>
      </c>
      <c r="E31" s="953"/>
    </row>
    <row r="32" spans="2:5" ht="12.75">
      <c r="B32" s="949"/>
      <c r="C32" s="957" t="s">
        <v>885</v>
      </c>
      <c r="D32" s="952" t="s">
        <v>904</v>
      </c>
      <c r="E32" s="953"/>
    </row>
    <row r="33" spans="2:5" ht="12.75">
      <c r="B33" s="949"/>
      <c r="C33" s="952" t="s">
        <v>886</v>
      </c>
      <c r="D33" s="952" t="s">
        <v>905</v>
      </c>
      <c r="E33" s="953"/>
    </row>
    <row r="34" spans="2:5" ht="12.75">
      <c r="B34" s="949"/>
      <c r="C34" s="952" t="s">
        <v>906</v>
      </c>
      <c r="D34" s="952" t="s">
        <v>907</v>
      </c>
      <c r="E34" s="953"/>
    </row>
    <row r="35" spans="2:5" ht="12.75">
      <c r="B35" s="954"/>
      <c r="C35" s="955"/>
      <c r="D35" s="955"/>
      <c r="E35" s="956"/>
    </row>
  </sheetData>
  <sheetProtection/>
  <mergeCells count="1">
    <mergeCell ref="C6:D6"/>
  </mergeCells>
  <hyperlinks>
    <hyperlink ref="C9" location="BD!A1" display="Base de donnée"/>
    <hyperlink ref="C10" location="LV!A1" display="Livre Journal"/>
    <hyperlink ref="C11" location="Blce!A1" display="Balance"/>
    <hyperlink ref="C12" location="Stock!A1" display="Tableau des stocks"/>
    <hyperlink ref="C13" location="Imo!A1" display="Tableau des immobilisations"/>
    <hyperlink ref="C14" location="Prov!A1" display="Tableau des provision"/>
    <hyperlink ref="C15" location="Titre!A1" display="Tableau des titres"/>
    <hyperlink ref="C16" location="'Clt,Frs'!A1" display="Tableau des créances et dettes clients et fournisseurs"/>
    <hyperlink ref="C21" location="Sal!A1" display="Table des Salaire, PNB"/>
    <hyperlink ref="C22" location="R!A1" display="Compte de Résultat"/>
    <hyperlink ref="C23" location="B!A1" display="Compte de Bilan"/>
    <hyperlink ref="C24" location="TED!A1" display="Tableau d'exploitation différentielles"/>
    <hyperlink ref="C25" location="SR!A1" display="Seuil de rentabilité"/>
    <hyperlink ref="C26" location="SIG0!A1" display="Soldes intermédiaire de Gestion 1"/>
    <hyperlink ref="C27" location="BF!A1" display="Bilan Fonctionnelle"/>
    <hyperlink ref="C29" location="VA!A1" display="Tableau de redistribution de la Valeur Ajouté"/>
    <hyperlink ref="C30" location="Tax!A1" display="Tablea de redistribution des imposition"/>
    <hyperlink ref="C31" location="DOC!A1" display="Documents de synthèse"/>
    <hyperlink ref="C32" location="Analys!A1" display="Comptabilité analytique"/>
  </hyperlinks>
  <printOptions/>
  <pageMargins left="0.787401575" right="0.787401575" top="0.984251969" bottom="0.984251969" header="0.4921259845" footer="0.4921259845"/>
  <pageSetup orientation="portrait" paperSize="9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A1" sqref="A1:G1"/>
    </sheetView>
  </sheetViews>
  <sheetFormatPr defaultColWidth="11.421875" defaultRowHeight="12.75"/>
  <sheetData>
    <row r="1" spans="1:7" ht="12.75">
      <c r="A1" s="1751" t="s">
        <v>797</v>
      </c>
      <c r="B1" s="1751"/>
      <c r="C1" s="1751"/>
      <c r="D1" s="1751"/>
      <c r="E1" s="1751"/>
      <c r="F1" s="1751"/>
      <c r="G1" s="1751"/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5.421875" style="13" customWidth="1"/>
    <col min="2" max="2" width="11.421875" style="13" customWidth="1"/>
    <col min="3" max="3" width="9.57421875" style="13" customWidth="1"/>
    <col min="4" max="4" width="11.421875" style="13" customWidth="1"/>
    <col min="5" max="5" width="3.28125" style="13" customWidth="1"/>
    <col min="6" max="6" width="11.421875" style="13" customWidth="1"/>
    <col min="7" max="7" width="19.140625" style="13" customWidth="1"/>
    <col min="8" max="8" width="9.8515625" style="13" customWidth="1"/>
    <col min="9" max="16384" width="11.421875" style="13" customWidth="1"/>
  </cols>
  <sheetData>
    <row r="1" spans="1:9" ht="12.75">
      <c r="A1" s="1759" t="s">
        <v>700</v>
      </c>
      <c r="B1" s="1759"/>
      <c r="C1" s="1759"/>
      <c r="D1" s="1759"/>
      <c r="E1" s="1759"/>
      <c r="F1" s="1759"/>
      <c r="G1" s="1759"/>
      <c r="H1" s="1759"/>
      <c r="I1" s="1759"/>
    </row>
    <row r="2" spans="1:9" ht="12.75">
      <c r="A2" s="274"/>
      <c r="B2" s="51" t="s">
        <v>701</v>
      </c>
      <c r="C2" s="51"/>
      <c r="D2" s="51"/>
      <c r="E2" s="51"/>
      <c r="F2" s="51"/>
      <c r="G2" s="51"/>
      <c r="H2" s="51"/>
      <c r="I2" s="22"/>
    </row>
    <row r="3" spans="1:9" ht="12.75">
      <c r="A3" s="30"/>
      <c r="B3" s="155"/>
      <c r="C3" s="155"/>
      <c r="D3" s="155"/>
      <c r="E3" s="155"/>
      <c r="F3" s="155"/>
      <c r="G3" s="155"/>
      <c r="H3" s="155"/>
      <c r="I3" s="31"/>
    </row>
    <row r="4" spans="1:9" ht="12.75">
      <c r="A4" s="1756" t="s">
        <v>711</v>
      </c>
      <c r="B4" s="1752" t="s">
        <v>702</v>
      </c>
      <c r="C4" s="1753"/>
      <c r="D4" s="51" t="s">
        <v>703</v>
      </c>
      <c r="E4" s="51"/>
      <c r="F4" s="51"/>
      <c r="G4" s="51"/>
      <c r="H4" s="22"/>
      <c r="I4" s="22"/>
    </row>
    <row r="5" spans="1:9" ht="12.75">
      <c r="A5" s="1757"/>
      <c r="B5" s="1754"/>
      <c r="C5" s="1755"/>
      <c r="D5" s="155" t="s">
        <v>704</v>
      </c>
      <c r="E5" s="155"/>
      <c r="F5" s="155"/>
      <c r="G5" s="155" t="s">
        <v>705</v>
      </c>
      <c r="H5" s="31"/>
      <c r="I5" s="31"/>
    </row>
    <row r="6" spans="1:9" ht="12.75">
      <c r="A6" s="1757"/>
      <c r="B6" s="274" t="s">
        <v>706</v>
      </c>
      <c r="C6" s="51"/>
      <c r="D6" s="51"/>
      <c r="E6" s="51"/>
      <c r="F6" s="51"/>
      <c r="G6" s="51"/>
      <c r="H6" s="22"/>
      <c r="I6" s="461"/>
    </row>
    <row r="7" spans="1:9" ht="12.75">
      <c r="A7" s="1757"/>
      <c r="B7" s="29" t="s">
        <v>707</v>
      </c>
      <c r="C7" s="8"/>
      <c r="D7" s="8"/>
      <c r="E7" s="8"/>
      <c r="F7" s="8"/>
      <c r="G7" s="8"/>
      <c r="H7" s="23"/>
      <c r="I7" s="14"/>
    </row>
    <row r="8" spans="1:9" ht="12.75">
      <c r="A8" s="1757"/>
      <c r="B8" s="29" t="s">
        <v>708</v>
      </c>
      <c r="C8" s="8"/>
      <c r="D8" s="8"/>
      <c r="E8" s="8"/>
      <c r="F8" s="8"/>
      <c r="G8" s="8"/>
      <c r="H8" s="23"/>
      <c r="I8" s="14"/>
    </row>
    <row r="9" spans="1:9" ht="12.75">
      <c r="A9" s="1757"/>
      <c r="B9" s="29" t="s">
        <v>709</v>
      </c>
      <c r="C9" s="8"/>
      <c r="D9" s="8"/>
      <c r="E9" s="8"/>
      <c r="F9" s="8"/>
      <c r="G9" s="8"/>
      <c r="H9" s="23"/>
      <c r="I9" s="14"/>
    </row>
    <row r="10" spans="1:9" ht="12.75">
      <c r="A10" s="1757"/>
      <c r="B10" s="29" t="s">
        <v>710</v>
      </c>
      <c r="C10" s="8"/>
      <c r="D10" s="8"/>
      <c r="E10" s="8"/>
      <c r="F10" s="8"/>
      <c r="G10" s="8"/>
      <c r="H10" s="23"/>
      <c r="I10" s="14"/>
    </row>
    <row r="11" spans="1:9" ht="12.75">
      <c r="A11" s="1758"/>
      <c r="B11" s="30" t="s">
        <v>297</v>
      </c>
      <c r="C11" s="155"/>
      <c r="D11" s="155"/>
      <c r="E11" s="155"/>
      <c r="F11" s="155"/>
      <c r="G11" s="155"/>
      <c r="H11" s="31"/>
      <c r="I11" s="24"/>
    </row>
  </sheetData>
  <sheetProtection/>
  <mergeCells count="3">
    <mergeCell ref="B4:C5"/>
    <mergeCell ref="A4:A11"/>
    <mergeCell ref="A1:I1"/>
  </mergeCells>
  <printOptions/>
  <pageMargins left="0.3937007874015748" right="0.3937007874015748" top="0.984251968503937" bottom="0.984251968503937" header="0.5118110236220472" footer="0.5118110236220472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6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8"/>
  <dimension ref="A1:X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7109375" style="0" customWidth="1"/>
    <col min="2" max="2" width="13.28125" style="38" bestFit="1" customWidth="1"/>
    <col min="3" max="3" width="11.7109375" style="38" bestFit="1" customWidth="1"/>
    <col min="4" max="4" width="11.57421875" style="38" bestFit="1" customWidth="1"/>
    <col min="5" max="5" width="12.140625" style="38" customWidth="1"/>
    <col min="6" max="6" width="7.8515625" style="38" customWidth="1"/>
    <col min="7" max="7" width="11.57421875" style="38" bestFit="1" customWidth="1"/>
    <col min="8" max="8" width="12.7109375" style="0" bestFit="1" customWidth="1"/>
    <col min="9" max="9" width="9.28125" style="0" customWidth="1"/>
    <col min="10" max="10" width="11.7109375" style="0" bestFit="1" customWidth="1"/>
    <col min="12" max="12" width="9.140625" style="0" customWidth="1"/>
    <col min="13" max="13" width="12.421875" style="0" customWidth="1"/>
    <col min="16" max="16" width="6.7109375" style="0" customWidth="1"/>
    <col min="17" max="17" width="8.28125" style="0" customWidth="1"/>
    <col min="24" max="24" width="10.421875" style="0" customWidth="1"/>
  </cols>
  <sheetData>
    <row r="1" spans="1:12" ht="12.75">
      <c r="A1" s="204"/>
      <c r="B1" s="210" t="s">
        <v>29</v>
      </c>
      <c r="C1" s="210" t="s">
        <v>9</v>
      </c>
      <c r="D1" s="210" t="s">
        <v>148</v>
      </c>
      <c r="E1" s="210" t="s">
        <v>149</v>
      </c>
      <c r="F1" s="1760" t="s">
        <v>150</v>
      </c>
      <c r="G1" s="1760"/>
      <c r="H1" s="7" t="s">
        <v>295</v>
      </c>
      <c r="I1" s="7"/>
      <c r="J1" s="7"/>
      <c r="K1" s="211"/>
      <c r="L1" s="167"/>
    </row>
    <row r="2" spans="1:12" ht="12.75">
      <c r="A2" s="441" t="s">
        <v>143</v>
      </c>
      <c r="B2" s="442">
        <f>'R1'!G1</f>
        <v>30</v>
      </c>
      <c r="C2" s="442">
        <v>0</v>
      </c>
      <c r="D2" s="442"/>
      <c r="E2" s="442"/>
      <c r="F2" s="443"/>
      <c r="G2" s="443"/>
      <c r="H2" s="444"/>
      <c r="I2" s="167"/>
      <c r="J2" s="167"/>
      <c r="K2" s="169"/>
      <c r="L2" s="167"/>
    </row>
    <row r="3" spans="1:12" ht="12.75">
      <c r="A3" s="448" t="s">
        <v>44</v>
      </c>
      <c r="B3" s="449">
        <f>G_CA1</f>
        <v>9238580</v>
      </c>
      <c r="C3" s="449"/>
      <c r="D3" s="449"/>
      <c r="E3" s="449"/>
      <c r="F3" s="450"/>
      <c r="G3" s="450"/>
      <c r="H3" s="451"/>
      <c r="I3" s="161"/>
      <c r="J3" s="161"/>
      <c r="K3" s="170"/>
      <c r="L3" s="167"/>
    </row>
    <row r="4" spans="6:7" ht="12.75">
      <c r="F4" s="1761"/>
      <c r="G4" s="1761"/>
    </row>
    <row r="5" spans="1:12" ht="12.75">
      <c r="A5" s="204"/>
      <c r="B5" s="210" t="s">
        <v>88</v>
      </c>
      <c r="C5" s="210" t="s">
        <v>89</v>
      </c>
      <c r="D5" s="210" t="s">
        <v>59</v>
      </c>
      <c r="E5" s="210"/>
      <c r="F5" s="1760"/>
      <c r="G5" s="1760"/>
      <c r="H5" s="7"/>
      <c r="I5" s="7"/>
      <c r="J5" s="7"/>
      <c r="K5" s="211"/>
      <c r="L5" s="167"/>
    </row>
    <row r="6" spans="1:12" ht="12.75">
      <c r="A6" s="166" t="s">
        <v>86</v>
      </c>
      <c r="B6" s="39" t="s">
        <v>91</v>
      </c>
      <c r="C6" s="39"/>
      <c r="D6" s="39">
        <f>B2</f>
        <v>30</v>
      </c>
      <c r="E6" s="39"/>
      <c r="F6" s="1475"/>
      <c r="G6" s="1475"/>
      <c r="H6" s="167"/>
      <c r="I6" s="167"/>
      <c r="J6" s="167"/>
      <c r="K6" s="169"/>
      <c r="L6" s="167"/>
    </row>
    <row r="7" spans="1:12" ht="12.75">
      <c r="A7" s="166" t="s">
        <v>87</v>
      </c>
      <c r="B7" s="39" t="s">
        <v>92</v>
      </c>
      <c r="C7" s="39" t="s">
        <v>90</v>
      </c>
      <c r="D7" s="39"/>
      <c r="E7" s="39"/>
      <c r="F7" s="1475"/>
      <c r="G7" s="1475"/>
      <c r="H7" s="167"/>
      <c r="I7" s="167"/>
      <c r="J7" s="167"/>
      <c r="K7" s="169"/>
      <c r="L7" s="167"/>
    </row>
    <row r="8" spans="1:12" ht="12.75">
      <c r="A8" s="204"/>
      <c r="B8" s="212" t="s">
        <v>29</v>
      </c>
      <c r="C8" s="212" t="s">
        <v>9</v>
      </c>
      <c r="D8" s="212" t="s">
        <v>42</v>
      </c>
      <c r="E8" s="212" t="s">
        <v>83</v>
      </c>
      <c r="F8" s="212" t="s">
        <v>43</v>
      </c>
      <c r="G8" s="216" t="s">
        <v>117</v>
      </c>
      <c r="H8" s="216" t="s">
        <v>44</v>
      </c>
      <c r="I8" s="146" t="s">
        <v>46</v>
      </c>
      <c r="J8" s="205" t="s">
        <v>45</v>
      </c>
      <c r="K8" s="206" t="s">
        <v>47</v>
      </c>
      <c r="L8" s="240"/>
    </row>
    <row r="9" spans="1:12" ht="12.75">
      <c r="A9" s="209"/>
      <c r="B9" s="213" t="s">
        <v>85</v>
      </c>
      <c r="C9" s="213" t="str">
        <f>B9</f>
        <v>€</v>
      </c>
      <c r="D9" s="213">
        <f>C6</f>
        <v>0</v>
      </c>
      <c r="E9" s="213" t="s">
        <v>84</v>
      </c>
      <c r="F9" s="213"/>
      <c r="G9" s="217"/>
      <c r="H9" s="217" t="str">
        <f>B9</f>
        <v>€</v>
      </c>
      <c r="I9" s="147"/>
      <c r="J9" s="207"/>
      <c r="K9" s="208"/>
      <c r="L9" s="240"/>
    </row>
    <row r="10" spans="1:12" ht="12.75">
      <c r="A10" s="166" t="str">
        <f>'R1'!A14</f>
        <v>Salaire et traitement</v>
      </c>
      <c r="B10" s="214">
        <f>'R1'!C14</f>
        <v>2822650</v>
      </c>
      <c r="C10" s="214">
        <f>'R1'!D14</f>
        <v>0</v>
      </c>
      <c r="D10" s="214">
        <f>Effectifs</f>
        <v>30</v>
      </c>
      <c r="E10" s="214">
        <f>IF(D10=0,"",B10/D10)</f>
        <v>94088.33333333333</v>
      </c>
      <c r="F10" s="214">
        <v>12</v>
      </c>
      <c r="G10" s="209">
        <f>IF(OR(D10=0,F10=0),"",((B10/D10)/F10))</f>
        <v>7840.694444444444</v>
      </c>
      <c r="H10" s="209">
        <f>G_CA1</f>
        <v>9238580</v>
      </c>
      <c r="I10" s="148">
        <f>IF(H10=0,"",B10/H10)</f>
        <v>0.30552855525416245</v>
      </c>
      <c r="J10" s="39">
        <f>G_VA1</f>
        <v>5124355</v>
      </c>
      <c r="K10" s="148">
        <f>IF(J10=0,"",B10/J10)</f>
        <v>0.5508302996181959</v>
      </c>
      <c r="L10" s="452"/>
    </row>
    <row r="11" spans="1:12" ht="12.75">
      <c r="A11" s="166" t="str">
        <f>'R1'!A15</f>
        <v>Charges sociales</v>
      </c>
      <c r="B11" s="214">
        <f>'R1'!C15</f>
        <v>1203835</v>
      </c>
      <c r="C11" s="214">
        <f>'R1'!D15</f>
        <v>0</v>
      </c>
      <c r="D11" s="214">
        <f>Effectifs</f>
        <v>30</v>
      </c>
      <c r="E11" s="214">
        <f>IF(D11=0,"",B11/D11)</f>
        <v>40127.833333333336</v>
      </c>
      <c r="F11" s="214">
        <v>12</v>
      </c>
      <c r="G11" s="209">
        <f>IF(OR(D11=0,F11=0),"",((B11/D11)/F11))</f>
        <v>3343.9861111111113</v>
      </c>
      <c r="H11" s="209">
        <f>H10</f>
        <v>9238580</v>
      </c>
      <c r="I11" s="148">
        <f>IF(H11=0,"",B11/H11)</f>
        <v>0.1303051984179387</v>
      </c>
      <c r="J11" s="39">
        <f>J10</f>
        <v>5124355</v>
      </c>
      <c r="K11" s="148">
        <f>IF(J11=0,"",B11/J11)</f>
        <v>0.23492420021641747</v>
      </c>
      <c r="L11" s="452"/>
    </row>
    <row r="12" spans="1:12" ht="12.75">
      <c r="A12" s="166"/>
      <c r="B12" s="214">
        <f>B11+B10</f>
        <v>4026485</v>
      </c>
      <c r="C12" s="214">
        <f>C11+C10</f>
        <v>0</v>
      </c>
      <c r="D12" s="214"/>
      <c r="E12" s="214"/>
      <c r="F12" s="214"/>
      <c r="G12" s="209"/>
      <c r="H12" s="209"/>
      <c r="I12" s="40"/>
      <c r="J12" s="39"/>
      <c r="K12" s="40"/>
      <c r="L12" s="39"/>
    </row>
    <row r="13" spans="1:12" ht="12.75">
      <c r="A13" s="168"/>
      <c r="B13" s="215"/>
      <c r="C13" s="215"/>
      <c r="D13" s="215"/>
      <c r="E13" s="215"/>
      <c r="F13" s="215"/>
      <c r="G13" s="218"/>
      <c r="H13" s="218"/>
      <c r="I13" s="42"/>
      <c r="J13" s="41"/>
      <c r="K13" s="42"/>
      <c r="L13" s="39"/>
    </row>
    <row r="15" spans="1:12" ht="12.75">
      <c r="A15" s="204"/>
      <c r="B15" s="210" t="s">
        <v>93</v>
      </c>
      <c r="C15" s="210" t="s">
        <v>94</v>
      </c>
      <c r="D15" s="210" t="s">
        <v>97</v>
      </c>
      <c r="E15" s="210" t="s">
        <v>98</v>
      </c>
      <c r="F15" s="210" t="s">
        <v>100</v>
      </c>
      <c r="G15" s="210" t="s">
        <v>99</v>
      </c>
      <c r="H15" s="210" t="s">
        <v>120</v>
      </c>
      <c r="I15" s="210" t="s">
        <v>119</v>
      </c>
      <c r="J15" s="210" t="s">
        <v>118</v>
      </c>
      <c r="K15" s="211"/>
      <c r="L15" s="167"/>
    </row>
    <row r="16" spans="1:12" ht="12.75">
      <c r="A16" s="166" t="s">
        <v>95</v>
      </c>
      <c r="B16" s="39">
        <f>Effectifs</f>
        <v>30</v>
      </c>
      <c r="C16" s="39"/>
      <c r="D16" s="39"/>
      <c r="E16" s="39"/>
      <c r="F16" s="39"/>
      <c r="G16" s="39">
        <f>IF(C16=0,"",B16/C16)</f>
      </c>
      <c r="H16" s="39">
        <f>IF(D16=0,"",B16/D16)</f>
      </c>
      <c r="I16" s="39">
        <f>IF(E16=0,"",B16/E16)</f>
      </c>
      <c r="J16" s="167"/>
      <c r="K16" s="169"/>
      <c r="L16" s="167"/>
    </row>
    <row r="17" spans="1:12" ht="12.75">
      <c r="A17" s="166" t="s">
        <v>96</v>
      </c>
      <c r="B17" s="39"/>
      <c r="C17" s="39"/>
      <c r="D17" s="39"/>
      <c r="E17" s="39"/>
      <c r="F17" s="39"/>
      <c r="G17" s="39">
        <f>IF(C17=0,"",B17/C17)</f>
      </c>
      <c r="H17" s="39">
        <f>IF(D17=0,"",B17/D17)</f>
      </c>
      <c r="I17" s="39">
        <f>IF(E17=0,"",B17/E17)</f>
      </c>
      <c r="J17" s="167"/>
      <c r="K17" s="169"/>
      <c r="L17" s="167"/>
    </row>
    <row r="18" spans="1:12" ht="12.75">
      <c r="A18" s="166" t="s">
        <v>101</v>
      </c>
      <c r="B18" s="39"/>
      <c r="C18" s="39"/>
      <c r="D18" s="39"/>
      <c r="E18" s="39"/>
      <c r="F18" s="39"/>
      <c r="G18" s="39"/>
      <c r="H18" s="167"/>
      <c r="I18" s="167"/>
      <c r="J18" s="167"/>
      <c r="K18" s="169"/>
      <c r="L18" s="167"/>
    </row>
    <row r="19" spans="1:12" ht="12.75">
      <c r="A19" s="166"/>
      <c r="B19" s="39">
        <f>SUM(B16:B18)</f>
        <v>30</v>
      </c>
      <c r="C19" s="39"/>
      <c r="D19" s="39"/>
      <c r="E19" s="39"/>
      <c r="F19" s="39"/>
      <c r="G19" s="39"/>
      <c r="H19" s="167"/>
      <c r="I19" s="167"/>
      <c r="J19" s="167"/>
      <c r="K19" s="169"/>
      <c r="L19" s="167"/>
    </row>
    <row r="20" spans="1:11" s="167" customFormat="1" ht="12.75">
      <c r="A20" s="168"/>
      <c r="B20" s="41"/>
      <c r="C20" s="41"/>
      <c r="D20" s="41"/>
      <c r="E20" s="41"/>
      <c r="F20" s="41"/>
      <c r="G20" s="41"/>
      <c r="H20" s="161"/>
      <c r="I20" s="161"/>
      <c r="J20" s="161"/>
      <c r="K20" s="170"/>
    </row>
    <row r="21" spans="1:12" ht="12.75">
      <c r="A21" s="167"/>
      <c r="B21" s="39"/>
      <c r="C21" s="39"/>
      <c r="D21" s="39"/>
      <c r="E21" s="39"/>
      <c r="F21" s="39"/>
      <c r="G21" s="39"/>
      <c r="H21" s="167"/>
      <c r="I21" s="167"/>
      <c r="J21" s="167"/>
      <c r="K21" s="167"/>
      <c r="L21" s="167"/>
    </row>
    <row r="22" spans="1:12" ht="12.75">
      <c r="A22" s="204"/>
      <c r="B22" s="210"/>
      <c r="C22" s="210"/>
      <c r="D22" s="210"/>
      <c r="E22" s="210"/>
      <c r="F22" s="210"/>
      <c r="G22" s="210"/>
      <c r="H22" s="7"/>
      <c r="I22" s="7"/>
      <c r="J22" s="7"/>
      <c r="K22" s="211"/>
      <c r="L22" s="167"/>
    </row>
    <row r="23" spans="1:12" ht="12.75">
      <c r="A23" s="166" t="s">
        <v>102</v>
      </c>
      <c r="B23" s="39"/>
      <c r="C23" s="39" t="s">
        <v>104</v>
      </c>
      <c r="D23" s="39" t="s">
        <v>105</v>
      </c>
      <c r="E23" s="39"/>
      <c r="F23" s="39"/>
      <c r="G23" s="39"/>
      <c r="H23" s="167"/>
      <c r="I23" s="167"/>
      <c r="J23" s="167"/>
      <c r="K23" s="169"/>
      <c r="L23" s="167"/>
    </row>
    <row r="24" spans="1:12" ht="12.75">
      <c r="A24" s="166" t="s">
        <v>103</v>
      </c>
      <c r="B24" s="39"/>
      <c r="C24" s="39"/>
      <c r="D24" s="39"/>
      <c r="E24" s="39"/>
      <c r="F24" s="39"/>
      <c r="G24" s="39"/>
      <c r="H24" s="167"/>
      <c r="I24" s="167"/>
      <c r="J24" s="167"/>
      <c r="K24" s="169"/>
      <c r="L24" s="167"/>
    </row>
    <row r="25" spans="1:12" ht="12.75">
      <c r="A25" s="166"/>
      <c r="B25" s="39"/>
      <c r="C25" s="39"/>
      <c r="D25" s="39"/>
      <c r="E25" s="39"/>
      <c r="F25" s="39"/>
      <c r="G25" s="39"/>
      <c r="H25" s="167"/>
      <c r="I25" s="167"/>
      <c r="J25" s="167"/>
      <c r="K25" s="169"/>
      <c r="L25" s="167"/>
    </row>
    <row r="26" spans="1:12" ht="12.75">
      <c r="A26" s="166" t="s">
        <v>106</v>
      </c>
      <c r="B26" s="43" t="s">
        <v>114</v>
      </c>
      <c r="C26" s="43" t="s">
        <v>115</v>
      </c>
      <c r="D26" s="43" t="s">
        <v>1165</v>
      </c>
      <c r="E26" s="43" t="s">
        <v>59</v>
      </c>
      <c r="F26" s="43" t="s">
        <v>43</v>
      </c>
      <c r="G26" s="43" t="s">
        <v>117</v>
      </c>
      <c r="H26" s="239" t="s">
        <v>121</v>
      </c>
      <c r="I26" s="240" t="str">
        <f>I8</f>
        <v>% CA</v>
      </c>
      <c r="J26" s="43" t="str">
        <f>K8</f>
        <v>% VA</v>
      </c>
      <c r="K26" s="208"/>
      <c r="L26" s="240"/>
    </row>
    <row r="27" spans="1:12" ht="12.75">
      <c r="A27" s="166" t="s">
        <v>116</v>
      </c>
      <c r="B27" s="186"/>
      <c r="C27" s="186"/>
      <c r="D27" s="186">
        <f>SUM(B27:C27)</f>
        <v>0</v>
      </c>
      <c r="E27" s="186"/>
      <c r="F27" s="186">
        <f>F28</f>
        <v>12</v>
      </c>
      <c r="G27" s="186"/>
      <c r="H27" s="186">
        <f>B27*E27</f>
        <v>0</v>
      </c>
      <c r="I27" s="335">
        <f aca="true" t="shared" si="0" ref="I27:I34">IF(S_CA=0,"",H27/S_CA)</f>
        <v>0</v>
      </c>
      <c r="J27" s="335">
        <f aca="true" t="shared" si="1" ref="J27:J35">IF(S_CA=0,"",H27/S_CA)</f>
        <v>0</v>
      </c>
      <c r="K27" s="241"/>
      <c r="L27" s="39"/>
    </row>
    <row r="28" spans="1:12" ht="12.75">
      <c r="A28" s="166" t="s">
        <v>107</v>
      </c>
      <c r="B28" s="186"/>
      <c r="C28" s="186"/>
      <c r="D28" s="186">
        <f>SUM(B28:C28)</f>
        <v>0</v>
      </c>
      <c r="E28" s="186"/>
      <c r="F28" s="186">
        <v>12</v>
      </c>
      <c r="G28" s="186"/>
      <c r="H28" s="186">
        <f aca="true" t="shared" si="2" ref="H28:H35">B28*E28</f>
        <v>0</v>
      </c>
      <c r="I28" s="335">
        <f t="shared" si="0"/>
        <v>0</v>
      </c>
      <c r="J28" s="335">
        <f t="shared" si="1"/>
        <v>0</v>
      </c>
      <c r="K28" s="241"/>
      <c r="L28" s="39"/>
    </row>
    <row r="29" spans="1:12" ht="12.75">
      <c r="A29" s="166" t="s">
        <v>108</v>
      </c>
      <c r="B29" s="184"/>
      <c r="C29" s="184"/>
      <c r="D29" s="184">
        <f aca="true" t="shared" si="3" ref="D29:D34">SUM(B29:C29)</f>
        <v>0</v>
      </c>
      <c r="E29" s="186"/>
      <c r="F29" s="184">
        <f>F27</f>
        <v>12</v>
      </c>
      <c r="G29" s="184"/>
      <c r="H29" s="186">
        <f t="shared" si="2"/>
        <v>0</v>
      </c>
      <c r="I29" s="335">
        <f t="shared" si="0"/>
        <v>0</v>
      </c>
      <c r="J29" s="335">
        <f t="shared" si="1"/>
        <v>0</v>
      </c>
      <c r="K29" s="242"/>
      <c r="L29" s="39"/>
    </row>
    <row r="30" spans="1:12" ht="12.75">
      <c r="A30" s="166" t="s">
        <v>109</v>
      </c>
      <c r="B30" s="184"/>
      <c r="C30" s="184"/>
      <c r="D30" s="184">
        <f t="shared" si="3"/>
        <v>0</v>
      </c>
      <c r="E30" s="186"/>
      <c r="F30" s="184">
        <f aca="true" t="shared" si="4" ref="F30:F35">F29</f>
        <v>12</v>
      </c>
      <c r="G30" s="184"/>
      <c r="H30" s="186">
        <f t="shared" si="2"/>
        <v>0</v>
      </c>
      <c r="I30" s="335">
        <f t="shared" si="0"/>
        <v>0</v>
      </c>
      <c r="J30" s="335">
        <f t="shared" si="1"/>
        <v>0</v>
      </c>
      <c r="K30" s="242"/>
      <c r="L30" s="39"/>
    </row>
    <row r="31" spans="1:12" ht="12.75">
      <c r="A31" s="166" t="s">
        <v>110</v>
      </c>
      <c r="B31" s="184"/>
      <c r="C31" s="184"/>
      <c r="D31" s="184">
        <f t="shared" si="3"/>
        <v>0</v>
      </c>
      <c r="E31" s="186"/>
      <c r="F31" s="184">
        <f t="shared" si="4"/>
        <v>12</v>
      </c>
      <c r="G31" s="184"/>
      <c r="H31" s="186">
        <f t="shared" si="2"/>
        <v>0</v>
      </c>
      <c r="I31" s="335">
        <f t="shared" si="0"/>
        <v>0</v>
      </c>
      <c r="J31" s="335">
        <f t="shared" si="1"/>
        <v>0</v>
      </c>
      <c r="K31" s="242"/>
      <c r="L31" s="39"/>
    </row>
    <row r="32" spans="1:12" ht="12.75">
      <c r="A32" s="166" t="s">
        <v>112</v>
      </c>
      <c r="B32" s="184"/>
      <c r="C32" s="184"/>
      <c r="D32" s="184">
        <f t="shared" si="3"/>
        <v>0</v>
      </c>
      <c r="E32" s="186"/>
      <c r="F32" s="184">
        <f t="shared" si="4"/>
        <v>12</v>
      </c>
      <c r="G32" s="184"/>
      <c r="H32" s="186">
        <f t="shared" si="2"/>
        <v>0</v>
      </c>
      <c r="I32" s="335">
        <f t="shared" si="0"/>
        <v>0</v>
      </c>
      <c r="J32" s="335">
        <f t="shared" si="1"/>
        <v>0</v>
      </c>
      <c r="K32" s="242"/>
      <c r="L32" s="39"/>
    </row>
    <row r="33" spans="1:12" ht="12.75">
      <c r="A33" s="166" t="s">
        <v>111</v>
      </c>
      <c r="B33" s="184"/>
      <c r="C33" s="184"/>
      <c r="D33" s="184">
        <f t="shared" si="3"/>
        <v>0</v>
      </c>
      <c r="E33" s="186"/>
      <c r="F33" s="184">
        <f t="shared" si="4"/>
        <v>12</v>
      </c>
      <c r="G33" s="184"/>
      <c r="H33" s="186">
        <f t="shared" si="2"/>
        <v>0</v>
      </c>
      <c r="I33" s="335">
        <f t="shared" si="0"/>
        <v>0</v>
      </c>
      <c r="J33" s="335">
        <f t="shared" si="1"/>
        <v>0</v>
      </c>
      <c r="K33" s="242"/>
      <c r="L33" s="39"/>
    </row>
    <row r="34" spans="1:12" ht="12.75">
      <c r="A34" s="166" t="s">
        <v>113</v>
      </c>
      <c r="B34" s="39"/>
      <c r="C34" s="39"/>
      <c r="D34" s="39">
        <f t="shared" si="3"/>
        <v>0</v>
      </c>
      <c r="E34" s="186"/>
      <c r="F34" s="184">
        <f t="shared" si="4"/>
        <v>12</v>
      </c>
      <c r="G34" s="39"/>
      <c r="H34" s="186">
        <f t="shared" si="2"/>
        <v>0</v>
      </c>
      <c r="I34" s="335">
        <f t="shared" si="0"/>
        <v>0</v>
      </c>
      <c r="J34" s="335">
        <f t="shared" si="1"/>
        <v>0</v>
      </c>
      <c r="K34" s="169"/>
      <c r="L34" s="167"/>
    </row>
    <row r="35" spans="1:13" ht="12.75">
      <c r="A35" s="243" t="s">
        <v>1165</v>
      </c>
      <c r="B35" s="244">
        <f>SUM(B28:B34)</f>
        <v>0</v>
      </c>
      <c r="C35" s="244">
        <f>SUM(C28:C34)</f>
        <v>0</v>
      </c>
      <c r="D35" s="244">
        <f>SUM(D28:D34)</f>
        <v>0</v>
      </c>
      <c r="E35" s="244">
        <f>SUM(E28:E34)</f>
        <v>0</v>
      </c>
      <c r="F35" s="244">
        <f t="shared" si="4"/>
        <v>12</v>
      </c>
      <c r="G35" s="244"/>
      <c r="H35" s="186">
        <f t="shared" si="2"/>
        <v>0</v>
      </c>
      <c r="I35" s="336"/>
      <c r="J35" s="335">
        <f t="shared" si="1"/>
        <v>0</v>
      </c>
      <c r="K35" s="245"/>
      <c r="L35" s="39"/>
      <c r="M35" s="39"/>
    </row>
    <row r="36" spans="1:12" ht="12.75">
      <c r="A36" s="168"/>
      <c r="B36" s="41"/>
      <c r="C36" s="41"/>
      <c r="D36" s="41"/>
      <c r="E36" s="41"/>
      <c r="F36" s="41"/>
      <c r="G36" s="41"/>
      <c r="H36" s="161"/>
      <c r="I36" s="161"/>
      <c r="J36" s="161"/>
      <c r="K36" s="170"/>
      <c r="L36" s="167"/>
    </row>
    <row r="38" spans="1:24" ht="12.75">
      <c r="A38" s="204" t="s">
        <v>175</v>
      </c>
      <c r="B38" s="210" t="s">
        <v>308</v>
      </c>
      <c r="C38" s="210"/>
      <c r="D38" s="264"/>
      <c r="L38" s="590"/>
      <c r="M38" s="216" t="s">
        <v>162</v>
      </c>
      <c r="N38" s="501" t="s">
        <v>163</v>
      </c>
      <c r="O38" s="205" t="s">
        <v>178</v>
      </c>
      <c r="P38" s="205" t="s">
        <v>184</v>
      </c>
      <c r="Q38" s="205" t="s">
        <v>85</v>
      </c>
      <c r="R38" s="205" t="s">
        <v>180</v>
      </c>
      <c r="S38" s="205" t="s">
        <v>185</v>
      </c>
      <c r="T38" s="7" t="s">
        <v>183</v>
      </c>
      <c r="U38" s="7" t="s">
        <v>179</v>
      </c>
      <c r="V38" s="210" t="s">
        <v>181</v>
      </c>
      <c r="W38" s="210" t="s">
        <v>182</v>
      </c>
      <c r="X38" s="211"/>
    </row>
    <row r="39" spans="1:24" ht="12.75">
      <c r="A39" s="166"/>
      <c r="B39" s="39"/>
      <c r="C39" s="39"/>
      <c r="D39" s="40"/>
      <c r="L39" s="535"/>
      <c r="M39" s="209"/>
      <c r="N39" s="43"/>
      <c r="O39" s="167"/>
      <c r="P39" s="167"/>
      <c r="Q39" s="167"/>
      <c r="R39" s="167"/>
      <c r="S39" s="167"/>
      <c r="T39" s="167"/>
      <c r="U39" s="167"/>
      <c r="V39" s="39"/>
      <c r="W39" s="39"/>
      <c r="X39" s="169"/>
    </row>
    <row r="40" spans="1:24" ht="12.75">
      <c r="A40" s="166" t="s">
        <v>176</v>
      </c>
      <c r="B40" s="39">
        <v>151.67</v>
      </c>
      <c r="C40" s="39">
        <f>IF(B40=0,0,1)</f>
        <v>1</v>
      </c>
      <c r="D40" s="40"/>
      <c r="L40" s="535" t="str">
        <f aca="true" t="shared" si="5" ref="L40:L62">A40</f>
        <v>France</v>
      </c>
      <c r="M40" s="209">
        <v>2003000</v>
      </c>
      <c r="N40" s="43">
        <v>1008000</v>
      </c>
      <c r="O40" s="39">
        <v>60</v>
      </c>
      <c r="P40" s="167">
        <v>1</v>
      </c>
      <c r="Q40" s="43">
        <v>1.42</v>
      </c>
      <c r="R40" s="167">
        <v>37</v>
      </c>
      <c r="S40" s="167">
        <v>25</v>
      </c>
      <c r="T40" s="246">
        <f>(M40/O40)*Q40</f>
        <v>47404.333333333336</v>
      </c>
      <c r="U40" s="39">
        <f>($N40/$O40)*$Q$40</f>
        <v>23856</v>
      </c>
      <c r="V40" s="39">
        <f>($N40/$R40)*$Q$40</f>
        <v>38685.40540540541</v>
      </c>
      <c r="W40" s="39">
        <f>($N40/$S40)*$Q$40</f>
        <v>57254.399999999994</v>
      </c>
      <c r="X40" s="169">
        <f>IF(U40=0,0,1)</f>
        <v>1</v>
      </c>
    </row>
    <row r="41" spans="1:24" ht="12.75">
      <c r="A41" s="166" t="s">
        <v>177</v>
      </c>
      <c r="B41" s="39"/>
      <c r="C41" s="39">
        <f aca="true" t="shared" si="6" ref="C41:C61">IF(B41=0,0,1)</f>
        <v>0</v>
      </c>
      <c r="D41" s="40"/>
      <c r="L41" s="535" t="str">
        <f t="shared" si="5"/>
        <v>pays </v>
      </c>
      <c r="M41" s="209"/>
      <c r="N41" s="43"/>
      <c r="O41" s="167"/>
      <c r="P41" s="167"/>
      <c r="Q41" s="167"/>
      <c r="R41" s="39"/>
      <c r="S41" s="167"/>
      <c r="T41" s="167"/>
      <c r="U41" s="167"/>
      <c r="V41" s="167"/>
      <c r="W41" s="167"/>
      <c r="X41" s="169">
        <f aca="true" t="shared" si="7" ref="X41:X61">IF(U41=0,0,1)</f>
        <v>0</v>
      </c>
    </row>
    <row r="42" spans="1:24" ht="12.75">
      <c r="A42" s="166" t="s">
        <v>177</v>
      </c>
      <c r="B42" s="39"/>
      <c r="C42" s="39">
        <f t="shared" si="6"/>
        <v>0</v>
      </c>
      <c r="D42" s="40"/>
      <c r="L42" s="535" t="str">
        <f t="shared" si="5"/>
        <v>pays </v>
      </c>
      <c r="M42" s="209"/>
      <c r="N42" s="43"/>
      <c r="O42" s="167"/>
      <c r="P42" s="167"/>
      <c r="Q42" s="167"/>
      <c r="R42" s="39">
        <f aca="true" t="shared" si="8" ref="R42:R61">IF(Q42=0,"",1)</f>
      </c>
      <c r="S42" s="167"/>
      <c r="T42" s="167"/>
      <c r="U42" s="167"/>
      <c r="V42" s="167"/>
      <c r="W42" s="167"/>
      <c r="X42" s="169">
        <f t="shared" si="7"/>
        <v>0</v>
      </c>
    </row>
    <row r="43" spans="1:24" ht="12.75">
      <c r="A43" s="166" t="s">
        <v>177</v>
      </c>
      <c r="B43" s="39"/>
      <c r="C43" s="39">
        <f t="shared" si="6"/>
        <v>0</v>
      </c>
      <c r="D43" s="40"/>
      <c r="L43" s="535" t="str">
        <f t="shared" si="5"/>
        <v>pays </v>
      </c>
      <c r="M43" s="209"/>
      <c r="N43" s="43"/>
      <c r="O43" s="167"/>
      <c r="P43" s="167"/>
      <c r="Q43" s="167"/>
      <c r="R43" s="39">
        <f t="shared" si="8"/>
      </c>
      <c r="S43" s="167"/>
      <c r="T43" s="167"/>
      <c r="U43" s="167"/>
      <c r="V43" s="167"/>
      <c r="W43" s="167"/>
      <c r="X43" s="169">
        <f t="shared" si="7"/>
        <v>0</v>
      </c>
    </row>
    <row r="44" spans="1:24" ht="12.75">
      <c r="A44" s="166" t="s">
        <v>177</v>
      </c>
      <c r="B44" s="39"/>
      <c r="C44" s="39">
        <f t="shared" si="6"/>
        <v>0</v>
      </c>
      <c r="D44" s="40"/>
      <c r="L44" s="535" t="str">
        <f t="shared" si="5"/>
        <v>pays </v>
      </c>
      <c r="M44" s="209"/>
      <c r="N44" s="43"/>
      <c r="O44" s="167"/>
      <c r="P44" s="167"/>
      <c r="Q44" s="167"/>
      <c r="R44" s="39">
        <f t="shared" si="8"/>
      </c>
      <c r="S44" s="167"/>
      <c r="T44" s="167"/>
      <c r="U44" s="167"/>
      <c r="V44" s="167"/>
      <c r="W44" s="167"/>
      <c r="X44" s="169">
        <f t="shared" si="7"/>
        <v>0</v>
      </c>
    </row>
    <row r="45" spans="1:24" ht="12.75">
      <c r="A45" s="166" t="s">
        <v>177</v>
      </c>
      <c r="B45" s="39"/>
      <c r="C45" s="39">
        <f t="shared" si="6"/>
        <v>0</v>
      </c>
      <c r="D45" s="40"/>
      <c r="L45" s="535" t="str">
        <f t="shared" si="5"/>
        <v>pays </v>
      </c>
      <c r="M45" s="209"/>
      <c r="N45" s="43"/>
      <c r="O45" s="167"/>
      <c r="P45" s="167"/>
      <c r="Q45" s="167"/>
      <c r="R45" s="39">
        <f t="shared" si="8"/>
      </c>
      <c r="S45" s="167"/>
      <c r="T45" s="167"/>
      <c r="U45" s="167"/>
      <c r="V45" s="167"/>
      <c r="W45" s="167"/>
      <c r="X45" s="169">
        <f t="shared" si="7"/>
        <v>0</v>
      </c>
    </row>
    <row r="46" spans="1:24" ht="12.75">
      <c r="A46" s="166" t="s">
        <v>177</v>
      </c>
      <c r="B46" s="39"/>
      <c r="C46" s="39">
        <f t="shared" si="6"/>
        <v>0</v>
      </c>
      <c r="D46" s="40"/>
      <c r="L46" s="535" t="str">
        <f t="shared" si="5"/>
        <v>pays </v>
      </c>
      <c r="M46" s="209"/>
      <c r="N46" s="43"/>
      <c r="O46" s="167"/>
      <c r="P46" s="167"/>
      <c r="Q46" s="167"/>
      <c r="R46" s="39">
        <f t="shared" si="8"/>
      </c>
      <c r="S46" s="167"/>
      <c r="T46" s="167"/>
      <c r="U46" s="167"/>
      <c r="V46" s="167"/>
      <c r="W46" s="167"/>
      <c r="X46" s="169">
        <f t="shared" si="7"/>
        <v>0</v>
      </c>
    </row>
    <row r="47" spans="1:24" ht="12.75">
      <c r="A47" s="166" t="s">
        <v>177</v>
      </c>
      <c r="B47" s="39"/>
      <c r="C47" s="39">
        <f t="shared" si="6"/>
        <v>0</v>
      </c>
      <c r="D47" s="40"/>
      <c r="L47" s="535" t="str">
        <f t="shared" si="5"/>
        <v>pays </v>
      </c>
      <c r="M47" s="209"/>
      <c r="N47" s="43"/>
      <c r="O47" s="167"/>
      <c r="P47" s="167"/>
      <c r="Q47" s="167"/>
      <c r="R47" s="39">
        <f t="shared" si="8"/>
      </c>
      <c r="S47" s="167"/>
      <c r="T47" s="167"/>
      <c r="U47" s="167"/>
      <c r="V47" s="167"/>
      <c r="W47" s="167"/>
      <c r="X47" s="169">
        <f t="shared" si="7"/>
        <v>0</v>
      </c>
    </row>
    <row r="48" spans="1:24" ht="12.75">
      <c r="A48" s="166" t="s">
        <v>177</v>
      </c>
      <c r="B48" s="39"/>
      <c r="C48" s="39">
        <f t="shared" si="6"/>
        <v>0</v>
      </c>
      <c r="D48" s="40"/>
      <c r="L48" s="535" t="str">
        <f t="shared" si="5"/>
        <v>pays </v>
      </c>
      <c r="M48" s="209"/>
      <c r="N48" s="43"/>
      <c r="O48" s="167"/>
      <c r="P48" s="167"/>
      <c r="Q48" s="167"/>
      <c r="R48" s="39">
        <f t="shared" si="8"/>
      </c>
      <c r="S48" s="167"/>
      <c r="T48" s="167"/>
      <c r="U48" s="167"/>
      <c r="V48" s="167"/>
      <c r="W48" s="167"/>
      <c r="X48" s="169">
        <f t="shared" si="7"/>
        <v>0</v>
      </c>
    </row>
    <row r="49" spans="1:24" ht="12.75">
      <c r="A49" s="166" t="s">
        <v>177</v>
      </c>
      <c r="B49" s="39"/>
      <c r="C49" s="39">
        <f t="shared" si="6"/>
        <v>0</v>
      </c>
      <c r="D49" s="40"/>
      <c r="L49" s="535" t="str">
        <f t="shared" si="5"/>
        <v>pays </v>
      </c>
      <c r="M49" s="209"/>
      <c r="N49" s="43"/>
      <c r="O49" s="167"/>
      <c r="P49" s="167"/>
      <c r="Q49" s="167"/>
      <c r="R49" s="39">
        <f t="shared" si="8"/>
      </c>
      <c r="S49" s="167"/>
      <c r="T49" s="167"/>
      <c r="U49" s="167"/>
      <c r="V49" s="167"/>
      <c r="W49" s="167"/>
      <c r="X49" s="169">
        <f t="shared" si="7"/>
        <v>0</v>
      </c>
    </row>
    <row r="50" spans="1:24" ht="12.75">
      <c r="A50" s="166" t="s">
        <v>177</v>
      </c>
      <c r="B50" s="39"/>
      <c r="C50" s="39">
        <f t="shared" si="6"/>
        <v>0</v>
      </c>
      <c r="D50" s="40"/>
      <c r="L50" s="535" t="str">
        <f t="shared" si="5"/>
        <v>pays </v>
      </c>
      <c r="M50" s="209"/>
      <c r="N50" s="43"/>
      <c r="O50" s="167"/>
      <c r="P50" s="167"/>
      <c r="Q50" s="167"/>
      <c r="R50" s="39">
        <f t="shared" si="8"/>
      </c>
      <c r="S50" s="167"/>
      <c r="T50" s="167"/>
      <c r="U50" s="167"/>
      <c r="V50" s="167"/>
      <c r="W50" s="167"/>
      <c r="X50" s="169">
        <f t="shared" si="7"/>
        <v>0</v>
      </c>
    </row>
    <row r="51" spans="1:24" ht="12.75">
      <c r="A51" s="166" t="s">
        <v>177</v>
      </c>
      <c r="B51" s="39"/>
      <c r="C51" s="39">
        <f t="shared" si="6"/>
        <v>0</v>
      </c>
      <c r="D51" s="40"/>
      <c r="L51" s="535" t="str">
        <f t="shared" si="5"/>
        <v>pays </v>
      </c>
      <c r="M51" s="209"/>
      <c r="N51" s="43"/>
      <c r="O51" s="167"/>
      <c r="P51" s="167"/>
      <c r="Q51" s="167"/>
      <c r="R51" s="39">
        <f t="shared" si="8"/>
      </c>
      <c r="S51" s="167"/>
      <c r="T51" s="167"/>
      <c r="U51" s="167"/>
      <c r="V51" s="167"/>
      <c r="W51" s="167"/>
      <c r="X51" s="169">
        <f t="shared" si="7"/>
        <v>0</v>
      </c>
    </row>
    <row r="52" spans="1:24" ht="12.75">
      <c r="A52" s="166" t="s">
        <v>177</v>
      </c>
      <c r="B52" s="39"/>
      <c r="C52" s="39">
        <f t="shared" si="6"/>
        <v>0</v>
      </c>
      <c r="D52" s="40"/>
      <c r="L52" s="535" t="str">
        <f t="shared" si="5"/>
        <v>pays </v>
      </c>
      <c r="M52" s="209"/>
      <c r="N52" s="43"/>
      <c r="O52" s="167"/>
      <c r="P52" s="167"/>
      <c r="Q52" s="167"/>
      <c r="R52" s="39">
        <f t="shared" si="8"/>
      </c>
      <c r="S52" s="167"/>
      <c r="T52" s="167"/>
      <c r="U52" s="167"/>
      <c r="V52" s="167"/>
      <c r="W52" s="167"/>
      <c r="X52" s="169">
        <f t="shared" si="7"/>
        <v>0</v>
      </c>
    </row>
    <row r="53" spans="1:24" ht="12.75">
      <c r="A53" s="166" t="s">
        <v>177</v>
      </c>
      <c r="B53" s="39"/>
      <c r="C53" s="39">
        <f t="shared" si="6"/>
        <v>0</v>
      </c>
      <c r="D53" s="40"/>
      <c r="L53" s="535" t="str">
        <f t="shared" si="5"/>
        <v>pays </v>
      </c>
      <c r="M53" s="209"/>
      <c r="N53" s="43"/>
      <c r="O53" s="167"/>
      <c r="P53" s="167"/>
      <c r="Q53" s="167"/>
      <c r="R53" s="39">
        <f t="shared" si="8"/>
      </c>
      <c r="S53" s="167"/>
      <c r="T53" s="167"/>
      <c r="U53" s="167"/>
      <c r="V53" s="167"/>
      <c r="W53" s="167"/>
      <c r="X53" s="169">
        <f t="shared" si="7"/>
        <v>0</v>
      </c>
    </row>
    <row r="54" spans="1:24" ht="12.75">
      <c r="A54" s="166" t="s">
        <v>177</v>
      </c>
      <c r="B54" s="39"/>
      <c r="C54" s="39">
        <f t="shared" si="6"/>
        <v>0</v>
      </c>
      <c r="D54" s="40"/>
      <c r="L54" s="535" t="str">
        <f t="shared" si="5"/>
        <v>pays </v>
      </c>
      <c r="M54" s="209"/>
      <c r="N54" s="43"/>
      <c r="O54" s="167"/>
      <c r="P54" s="167"/>
      <c r="Q54" s="167"/>
      <c r="R54" s="39">
        <f t="shared" si="8"/>
      </c>
      <c r="S54" s="167"/>
      <c r="T54" s="167"/>
      <c r="U54" s="167"/>
      <c r="V54" s="167"/>
      <c r="W54" s="167"/>
      <c r="X54" s="169">
        <f t="shared" si="7"/>
        <v>0</v>
      </c>
    </row>
    <row r="55" spans="1:24" ht="12.75">
      <c r="A55" s="166" t="s">
        <v>177</v>
      </c>
      <c r="B55" s="39"/>
      <c r="C55" s="39">
        <f t="shared" si="6"/>
        <v>0</v>
      </c>
      <c r="D55" s="40"/>
      <c r="L55" s="535" t="str">
        <f t="shared" si="5"/>
        <v>pays </v>
      </c>
      <c r="M55" s="209"/>
      <c r="N55" s="43"/>
      <c r="O55" s="167"/>
      <c r="P55" s="167"/>
      <c r="Q55" s="167"/>
      <c r="R55" s="39">
        <f t="shared" si="8"/>
      </c>
      <c r="S55" s="167"/>
      <c r="T55" s="167"/>
      <c r="U55" s="167"/>
      <c r="V55" s="167"/>
      <c r="W55" s="167"/>
      <c r="X55" s="169">
        <f t="shared" si="7"/>
        <v>0</v>
      </c>
    </row>
    <row r="56" spans="1:24" ht="12.75">
      <c r="A56" s="166" t="s">
        <v>177</v>
      </c>
      <c r="B56" s="39"/>
      <c r="C56" s="39">
        <f t="shared" si="6"/>
        <v>0</v>
      </c>
      <c r="D56" s="40"/>
      <c r="L56" s="535" t="str">
        <f t="shared" si="5"/>
        <v>pays </v>
      </c>
      <c r="M56" s="209"/>
      <c r="N56" s="43"/>
      <c r="O56" s="167"/>
      <c r="P56" s="167"/>
      <c r="Q56" s="167"/>
      <c r="R56" s="39">
        <f t="shared" si="8"/>
      </c>
      <c r="S56" s="167"/>
      <c r="T56" s="167"/>
      <c r="U56" s="167"/>
      <c r="V56" s="167"/>
      <c r="W56" s="167"/>
      <c r="X56" s="169">
        <f t="shared" si="7"/>
        <v>0</v>
      </c>
    </row>
    <row r="57" spans="1:24" ht="12.75">
      <c r="A57" s="166" t="s">
        <v>177</v>
      </c>
      <c r="B57" s="39"/>
      <c r="C57" s="39">
        <f t="shared" si="6"/>
        <v>0</v>
      </c>
      <c r="D57" s="40"/>
      <c r="L57" s="535" t="str">
        <f t="shared" si="5"/>
        <v>pays </v>
      </c>
      <c r="M57" s="209"/>
      <c r="N57" s="43"/>
      <c r="O57" s="167"/>
      <c r="P57" s="167"/>
      <c r="Q57" s="167"/>
      <c r="R57" s="39">
        <f t="shared" si="8"/>
      </c>
      <c r="S57" s="167"/>
      <c r="T57" s="167"/>
      <c r="U57" s="167"/>
      <c r="V57" s="167"/>
      <c r="W57" s="167"/>
      <c r="X57" s="169">
        <f t="shared" si="7"/>
        <v>0</v>
      </c>
    </row>
    <row r="58" spans="1:24" ht="12.75">
      <c r="A58" s="166" t="s">
        <v>177</v>
      </c>
      <c r="B58" s="39"/>
      <c r="C58" s="39">
        <f t="shared" si="6"/>
        <v>0</v>
      </c>
      <c r="D58" s="40"/>
      <c r="L58" s="535" t="str">
        <f t="shared" si="5"/>
        <v>pays </v>
      </c>
      <c r="M58" s="209"/>
      <c r="N58" s="43"/>
      <c r="O58" s="167"/>
      <c r="P58" s="167"/>
      <c r="Q58" s="167"/>
      <c r="R58" s="39">
        <f t="shared" si="8"/>
      </c>
      <c r="S58" s="167"/>
      <c r="T58" s="167"/>
      <c r="U58" s="167"/>
      <c r="V58" s="167"/>
      <c r="W58" s="167"/>
      <c r="X58" s="169">
        <f t="shared" si="7"/>
        <v>0</v>
      </c>
    </row>
    <row r="59" spans="1:24" ht="12.75">
      <c r="A59" s="166" t="s">
        <v>177</v>
      </c>
      <c r="B59" s="39"/>
      <c r="C59" s="39">
        <f t="shared" si="6"/>
        <v>0</v>
      </c>
      <c r="D59" s="40"/>
      <c r="L59" s="535" t="str">
        <f t="shared" si="5"/>
        <v>pays </v>
      </c>
      <c r="M59" s="209"/>
      <c r="N59" s="43"/>
      <c r="O59" s="167"/>
      <c r="P59" s="167"/>
      <c r="Q59" s="167"/>
      <c r="R59" s="39">
        <f t="shared" si="8"/>
      </c>
      <c r="S59" s="167"/>
      <c r="T59" s="167"/>
      <c r="U59" s="167"/>
      <c r="V59" s="167"/>
      <c r="W59" s="167"/>
      <c r="X59" s="169">
        <f t="shared" si="7"/>
        <v>0</v>
      </c>
    </row>
    <row r="60" spans="1:24" ht="12.75">
      <c r="A60" s="166" t="s">
        <v>177</v>
      </c>
      <c r="B60" s="39"/>
      <c r="C60" s="39">
        <f t="shared" si="6"/>
        <v>0</v>
      </c>
      <c r="D60" s="40"/>
      <c r="L60" s="535" t="str">
        <f t="shared" si="5"/>
        <v>pays </v>
      </c>
      <c r="M60" s="209"/>
      <c r="N60" s="43"/>
      <c r="O60" s="167"/>
      <c r="P60" s="167"/>
      <c r="Q60" s="167"/>
      <c r="R60" s="39">
        <f t="shared" si="8"/>
      </c>
      <c r="S60" s="167"/>
      <c r="T60" s="167"/>
      <c r="U60" s="167"/>
      <c r="V60" s="167"/>
      <c r="W60" s="167"/>
      <c r="X60" s="169">
        <f t="shared" si="7"/>
        <v>0</v>
      </c>
    </row>
    <row r="61" spans="1:24" ht="12.75">
      <c r="A61" s="166" t="s">
        <v>177</v>
      </c>
      <c r="B61" s="39"/>
      <c r="C61" s="39">
        <f t="shared" si="6"/>
        <v>0</v>
      </c>
      <c r="D61" s="40"/>
      <c r="L61" s="535" t="str">
        <f t="shared" si="5"/>
        <v>pays </v>
      </c>
      <c r="M61" s="209"/>
      <c r="N61" s="43"/>
      <c r="O61" s="167"/>
      <c r="P61" s="167"/>
      <c r="Q61" s="167"/>
      <c r="R61" s="39">
        <f t="shared" si="8"/>
      </c>
      <c r="S61" s="167"/>
      <c r="T61" s="167"/>
      <c r="U61" s="167"/>
      <c r="V61" s="167"/>
      <c r="W61" s="167"/>
      <c r="X61" s="169">
        <f t="shared" si="7"/>
        <v>0</v>
      </c>
    </row>
    <row r="62" spans="1:24" ht="12.75">
      <c r="A62" s="166"/>
      <c r="B62" s="39"/>
      <c r="C62" s="39"/>
      <c r="D62" s="40"/>
      <c r="L62" s="535">
        <f t="shared" si="5"/>
        <v>0</v>
      </c>
      <c r="M62" s="209"/>
      <c r="N62" s="43"/>
      <c r="O62" s="167"/>
      <c r="P62" s="167"/>
      <c r="Q62" s="167"/>
      <c r="R62" s="39"/>
      <c r="S62" s="167"/>
      <c r="T62" s="167"/>
      <c r="U62" s="167"/>
      <c r="V62" s="167"/>
      <c r="W62" s="167"/>
      <c r="X62" s="169"/>
    </row>
    <row r="63" spans="1:24" ht="12.75">
      <c r="A63" s="166" t="s">
        <v>1165</v>
      </c>
      <c r="B63" s="267">
        <f>SUM(B40:B61)</f>
        <v>151.67</v>
      </c>
      <c r="C63" s="210">
        <f>IF(B63=0,"",1)</f>
        <v>1</v>
      </c>
      <c r="D63" s="40"/>
      <c r="L63" s="535"/>
      <c r="M63" s="265"/>
      <c r="N63" s="501" t="e">
        <f>SUM(#REF!)</f>
        <v>#REF!</v>
      </c>
      <c r="O63" s="210">
        <f>SUM(O40:O61)</f>
        <v>60</v>
      </c>
      <c r="P63" s="210"/>
      <c r="Q63" s="210">
        <f>SUM(Q40:Q61)</f>
        <v>1.42</v>
      </c>
      <c r="R63" s="210">
        <f>SUM(R40:R61)</f>
        <v>37</v>
      </c>
      <c r="S63" s="210">
        <f>SUM(S40:S61)</f>
        <v>25</v>
      </c>
      <c r="T63" s="210"/>
      <c r="U63" s="210">
        <f>SUM(U40:U61)/X63</f>
        <v>23856</v>
      </c>
      <c r="V63" s="210">
        <f>SUM(V40:V61)/X63</f>
        <v>38685.40540540541</v>
      </c>
      <c r="W63" s="210">
        <f>SUM(W40:W61)/X63</f>
        <v>57254.399999999994</v>
      </c>
      <c r="X63" s="264">
        <f>SUM(X40:X62)</f>
        <v>1</v>
      </c>
    </row>
    <row r="64" spans="1:24" ht="12.75">
      <c r="A64" s="166" t="s">
        <v>307</v>
      </c>
      <c r="B64" s="246"/>
      <c r="C64" s="39"/>
      <c r="D64" s="40"/>
      <c r="L64" s="535"/>
      <c r="M64" s="209"/>
      <c r="N64" s="43"/>
      <c r="O64" s="39"/>
      <c r="P64" s="39"/>
      <c r="Q64" s="39"/>
      <c r="R64" s="39"/>
      <c r="S64" s="39"/>
      <c r="T64" s="39"/>
      <c r="U64" s="39"/>
      <c r="V64" s="39"/>
      <c r="W64" s="39"/>
      <c r="X64" s="40"/>
    </row>
    <row r="65" spans="1:24" ht="12.75">
      <c r="A65" s="166"/>
      <c r="B65" s="246"/>
      <c r="C65" s="39"/>
      <c r="D65" s="40"/>
      <c r="L65" s="535"/>
      <c r="M65" s="209"/>
      <c r="N65" s="43"/>
      <c r="O65" s="39"/>
      <c r="P65" s="39"/>
      <c r="Q65" s="39"/>
      <c r="R65" s="39"/>
      <c r="S65" s="39"/>
      <c r="T65" s="39"/>
      <c r="U65" s="39"/>
      <c r="V65" s="39"/>
      <c r="W65" s="39"/>
      <c r="X65" s="40"/>
    </row>
    <row r="66" spans="1:24" ht="12.75">
      <c r="A66" s="166" t="s">
        <v>186</v>
      </c>
      <c r="B66" s="39"/>
      <c r="C66" s="39"/>
      <c r="D66" s="40"/>
      <c r="L66" s="535"/>
      <c r="M66" s="209"/>
      <c r="N66" s="39"/>
      <c r="O66" s="167"/>
      <c r="P66" s="167"/>
      <c r="Q66" s="167"/>
      <c r="R66" s="167"/>
      <c r="S66" s="167"/>
      <c r="T66" s="167"/>
      <c r="U66" s="167"/>
      <c r="V66" s="167"/>
      <c r="W66" s="167"/>
      <c r="X66" s="169"/>
    </row>
    <row r="67" spans="1:24" ht="12.75">
      <c r="A67" s="166" t="s">
        <v>190</v>
      </c>
      <c r="B67" s="246">
        <f>U40</f>
        <v>23856</v>
      </c>
      <c r="C67" s="39" t="s">
        <v>191</v>
      </c>
      <c r="D67" s="40"/>
      <c r="L67" s="535"/>
      <c r="M67" s="209"/>
      <c r="N67" s="39"/>
      <c r="O67" s="167"/>
      <c r="P67" s="167"/>
      <c r="Q67" s="167"/>
      <c r="R67" s="167"/>
      <c r="S67" s="167"/>
      <c r="T67" s="167"/>
      <c r="U67" s="167"/>
      <c r="V67" s="167"/>
      <c r="W67" s="167"/>
      <c r="X67" s="169"/>
    </row>
    <row r="68" spans="1:24" ht="12.75">
      <c r="A68" s="166" t="s">
        <v>187</v>
      </c>
      <c r="B68" s="246">
        <f>U63</f>
        <v>23856</v>
      </c>
      <c r="C68" s="39"/>
      <c r="D68" s="40"/>
      <c r="L68" s="535"/>
      <c r="M68" s="209"/>
      <c r="N68" s="39"/>
      <c r="O68" s="167"/>
      <c r="P68" s="167"/>
      <c r="Q68" s="167"/>
      <c r="R68" s="167"/>
      <c r="S68" s="167"/>
      <c r="T68" s="167"/>
      <c r="U68" s="167"/>
      <c r="V68" s="167"/>
      <c r="W68" s="167"/>
      <c r="X68" s="169"/>
    </row>
    <row r="69" spans="1:24" ht="12.75">
      <c r="A69" s="166" t="s">
        <v>192</v>
      </c>
      <c r="B69" s="246"/>
      <c r="C69" s="39"/>
      <c r="D69" s="40"/>
      <c r="L69" s="535"/>
      <c r="M69" s="209"/>
      <c r="N69" s="39"/>
      <c r="O69" s="167"/>
      <c r="P69" s="167"/>
      <c r="Q69" s="167"/>
      <c r="R69" s="167"/>
      <c r="S69" s="167"/>
      <c r="T69" s="167"/>
      <c r="U69" s="167"/>
      <c r="V69" s="167"/>
      <c r="W69" s="167"/>
      <c r="X69" s="169"/>
    </row>
    <row r="70" spans="1:24" ht="12.75">
      <c r="A70" s="166" t="s">
        <v>189</v>
      </c>
      <c r="B70" s="246">
        <f>V63</f>
        <v>38685.40540540541</v>
      </c>
      <c r="C70" s="39"/>
      <c r="D70" s="40"/>
      <c r="L70" s="535"/>
      <c r="M70" s="209"/>
      <c r="N70" s="39"/>
      <c r="O70" s="167"/>
      <c r="P70" s="167"/>
      <c r="Q70" s="167"/>
      <c r="R70" s="167"/>
      <c r="S70" s="167"/>
      <c r="T70" s="167"/>
      <c r="U70" s="167"/>
      <c r="V70" s="167"/>
      <c r="W70" s="167"/>
      <c r="X70" s="169"/>
    </row>
    <row r="71" spans="1:24" ht="12.75">
      <c r="A71" s="168" t="s">
        <v>188</v>
      </c>
      <c r="B71" s="266">
        <f>W63</f>
        <v>57254.399999999994</v>
      </c>
      <c r="C71" s="41"/>
      <c r="D71" s="42"/>
      <c r="L71" s="537"/>
      <c r="M71" s="218"/>
      <c r="N71" s="41"/>
      <c r="O71" s="161"/>
      <c r="P71" s="161"/>
      <c r="Q71" s="161"/>
      <c r="R71" s="161"/>
      <c r="S71" s="161"/>
      <c r="T71" s="161"/>
      <c r="U71" s="161"/>
      <c r="V71" s="161"/>
      <c r="W71" s="161"/>
      <c r="X71" s="170"/>
    </row>
  </sheetData>
  <sheetProtection/>
  <mergeCells count="5">
    <mergeCell ref="F7:G7"/>
    <mergeCell ref="F1:G1"/>
    <mergeCell ref="F4:G4"/>
    <mergeCell ref="F5:G5"/>
    <mergeCell ref="F6:G6"/>
  </mergeCells>
  <printOptions/>
  <pageMargins left="0.3937007874015748" right="0.3937007874015748" top="0.984251968503937" bottom="0.984251968503937" header="0.5118110236220472" footer="0.5118110236220472"/>
  <pageSetup orientation="landscape" pageOrder="overThenDown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P128"/>
  <sheetViews>
    <sheetView zoomScalePageLayoutView="0" workbookViewId="0" topLeftCell="A1">
      <selection activeCell="I3" sqref="I3"/>
    </sheetView>
  </sheetViews>
  <sheetFormatPr defaultColWidth="11.421875" defaultRowHeight="12.75"/>
  <cols>
    <col min="1" max="1" width="5.8515625" style="1459" customWidth="1"/>
    <col min="2" max="2" width="12.00390625" style="13" customWidth="1"/>
    <col min="3" max="3" width="36.00390625" style="13" customWidth="1"/>
    <col min="4" max="4" width="12.28125" style="13" customWidth="1"/>
    <col min="5" max="6" width="11.7109375" style="53" bestFit="1" customWidth="1"/>
    <col min="7" max="7" width="10.8515625" style="53" customWidth="1"/>
    <col min="8" max="8" width="13.8515625" style="13" customWidth="1"/>
    <col min="9" max="9" width="10.57421875" style="53" customWidth="1"/>
    <col min="10" max="10" width="11.7109375" style="53" bestFit="1" customWidth="1"/>
    <col min="11" max="12" width="11.140625" style="53" customWidth="1"/>
    <col min="13" max="13" width="9.421875" style="53" bestFit="1" customWidth="1"/>
    <col min="14" max="14" width="11.7109375" style="13" bestFit="1" customWidth="1"/>
    <col min="15" max="15" width="11.421875" style="13" customWidth="1"/>
    <col min="16" max="16" width="11.7109375" style="13" bestFit="1" customWidth="1"/>
    <col min="17" max="16384" width="11.421875" style="13" customWidth="1"/>
  </cols>
  <sheetData>
    <row r="1" ht="12.75"/>
    <row r="2" ht="12.75"/>
    <row r="3" ht="12.75"/>
    <row r="4" ht="12.75"/>
    <row r="5" spans="1:8" s="50" customFormat="1" ht="12.75">
      <c r="A5" s="1762"/>
      <c r="B5" s="1763"/>
      <c r="C5" s="1763"/>
      <c r="D5" s="1763"/>
      <c r="E5" s="1763"/>
      <c r="F5" s="1763"/>
      <c r="G5" s="1764"/>
      <c r="H5" s="1379"/>
    </row>
    <row r="6" spans="1:8" s="50" customFormat="1" ht="12.75">
      <c r="A6" s="1765"/>
      <c r="B6" s="1766"/>
      <c r="C6" s="1767"/>
      <c r="D6" s="1765" t="s">
        <v>321</v>
      </c>
      <c r="E6" s="1766"/>
      <c r="F6" s="1767"/>
      <c r="G6" s="1380" t="s">
        <v>322</v>
      </c>
      <c r="H6" s="1381"/>
    </row>
    <row r="7" spans="1:8" s="50" customFormat="1" ht="12.75" customHeight="1">
      <c r="A7" s="1382"/>
      <c r="B7" s="2"/>
      <c r="C7" s="59"/>
      <c r="D7" s="1383" t="s">
        <v>1184</v>
      </c>
      <c r="E7" s="1384" t="s">
        <v>1183</v>
      </c>
      <c r="F7" s="1384" t="s">
        <v>1165</v>
      </c>
      <c r="G7" s="58"/>
      <c r="H7" s="66"/>
    </row>
    <row r="8" spans="1:8" s="50" customFormat="1" ht="12.75">
      <c r="A8" s="1768" t="s">
        <v>323</v>
      </c>
      <c r="B8" s="1" t="s">
        <v>995</v>
      </c>
      <c r="C8" s="111"/>
      <c r="D8" s="55"/>
      <c r="E8" s="65"/>
      <c r="F8" s="65">
        <f>SUM(D8:E8)</f>
        <v>0</v>
      </c>
      <c r="G8" s="55"/>
      <c r="H8" s="65"/>
    </row>
    <row r="9" spans="1:8" s="50" customFormat="1" ht="12.75">
      <c r="A9" s="1769"/>
      <c r="B9" s="2" t="s">
        <v>324</v>
      </c>
      <c r="C9" s="59"/>
      <c r="D9" s="58"/>
      <c r="E9" s="66"/>
      <c r="F9" s="66">
        <f>SUM(D9:E9)</f>
        <v>0</v>
      </c>
      <c r="G9" s="58"/>
      <c r="H9" s="66"/>
    </row>
    <row r="10" spans="1:8" s="50" customFormat="1" ht="12.75">
      <c r="A10" s="1769"/>
      <c r="B10" s="2" t="s">
        <v>325</v>
      </c>
      <c r="C10" s="59"/>
      <c r="D10" s="58"/>
      <c r="E10" s="66"/>
      <c r="F10" s="66">
        <f>SUM(D10:E10)</f>
        <v>0</v>
      </c>
      <c r="G10" s="58"/>
      <c r="H10" s="66"/>
    </row>
    <row r="11" spans="1:8" s="50" customFormat="1" ht="12.75">
      <c r="A11" s="1769"/>
      <c r="B11" s="1771" t="s">
        <v>326</v>
      </c>
      <c r="C11" s="1772"/>
      <c r="D11" s="1385">
        <v>0</v>
      </c>
      <c r="E11" s="1385">
        <v>0</v>
      </c>
      <c r="F11" s="1385">
        <f>SUM(F8:F10)</f>
        <v>0</v>
      </c>
      <c r="G11" s="1385">
        <v>0</v>
      </c>
      <c r="H11" s="1385">
        <v>0</v>
      </c>
    </row>
    <row r="12" spans="1:8" s="50" customFormat="1" ht="12.75">
      <c r="A12" s="1769"/>
      <c r="B12" s="1" t="s">
        <v>1185</v>
      </c>
      <c r="C12" s="1386"/>
      <c r="D12" s="271"/>
      <c r="E12" s="55"/>
      <c r="F12" s="65"/>
      <c r="G12" s="55"/>
      <c r="H12" s="65"/>
    </row>
    <row r="13" spans="1:8" s="50" customFormat="1" ht="12.75">
      <c r="A13" s="1769"/>
      <c r="B13" s="2" t="s">
        <v>1001</v>
      </c>
      <c r="D13" s="57"/>
      <c r="E13" s="58"/>
      <c r="F13" s="66"/>
      <c r="G13" s="58"/>
      <c r="H13" s="66"/>
    </row>
    <row r="14" spans="1:8" s="50" customFormat="1" ht="12.75">
      <c r="A14" s="1769"/>
      <c r="B14" s="2" t="s">
        <v>1002</v>
      </c>
      <c r="D14" s="57"/>
      <c r="E14" s="58"/>
      <c r="F14" s="66"/>
      <c r="G14" s="58"/>
      <c r="H14" s="66"/>
    </row>
    <row r="15" spans="1:8" s="50" customFormat="1" ht="12.75">
      <c r="A15" s="1769"/>
      <c r="B15" s="2" t="s">
        <v>327</v>
      </c>
      <c r="D15" s="57"/>
      <c r="E15" s="58"/>
      <c r="F15" s="66"/>
      <c r="G15" s="58"/>
      <c r="H15" s="66"/>
    </row>
    <row r="16" spans="1:8" s="50" customFormat="1" ht="12.75">
      <c r="A16" s="1769"/>
      <c r="B16" s="2" t="s">
        <v>1203</v>
      </c>
      <c r="D16" s="57"/>
      <c r="E16" s="58"/>
      <c r="F16" s="66"/>
      <c r="G16" s="58"/>
      <c r="H16" s="66"/>
    </row>
    <row r="17" spans="1:8" s="50" customFormat="1" ht="12.75">
      <c r="A17" s="1769"/>
      <c r="B17" s="1771" t="s">
        <v>328</v>
      </c>
      <c r="C17" s="1773"/>
      <c r="D17" s="1773"/>
      <c r="E17" s="1772"/>
      <c r="F17" s="1387">
        <f>SUM(F12:F16)</f>
        <v>0</v>
      </c>
      <c r="G17" s="1387">
        <v>0</v>
      </c>
      <c r="H17" s="1387">
        <v>0</v>
      </c>
    </row>
    <row r="18" spans="1:8" s="50" customFormat="1" ht="12.75">
      <c r="A18" s="1770"/>
      <c r="B18" s="1774" t="s">
        <v>329</v>
      </c>
      <c r="C18" s="1775"/>
      <c r="D18" s="1775"/>
      <c r="E18" s="1776"/>
      <c r="F18" s="1463">
        <f>F17+F11</f>
        <v>0</v>
      </c>
      <c r="G18" s="1463">
        <v>0</v>
      </c>
      <c r="H18" s="1463">
        <v>0</v>
      </c>
    </row>
    <row r="19" spans="1:8" s="50" customFormat="1" ht="12.75" customHeight="1">
      <c r="A19" s="1777" t="s">
        <v>330</v>
      </c>
      <c r="B19" s="1779" t="s">
        <v>331</v>
      </c>
      <c r="C19" s="1780"/>
      <c r="D19" s="61"/>
      <c r="F19" s="66"/>
      <c r="G19" s="58"/>
      <c r="H19" s="66"/>
    </row>
    <row r="20" spans="1:8" s="50" customFormat="1" ht="12.75">
      <c r="A20" s="1777"/>
      <c r="B20" s="1779" t="s">
        <v>332</v>
      </c>
      <c r="C20" s="1780"/>
      <c r="D20" s="61"/>
      <c r="F20" s="66"/>
      <c r="G20" s="58"/>
      <c r="H20" s="66"/>
    </row>
    <row r="21" spans="1:8" s="50" customFormat="1" ht="12.75">
      <c r="A21" s="1777"/>
      <c r="B21" s="1771" t="s">
        <v>333</v>
      </c>
      <c r="C21" s="1773"/>
      <c r="D21" s="1773"/>
      <c r="E21" s="1772"/>
      <c r="F21" s="1387">
        <f>SUM(F19:F20)</f>
        <v>0</v>
      </c>
      <c r="G21" s="1387">
        <v>0</v>
      </c>
      <c r="H21" s="1387">
        <v>0</v>
      </c>
    </row>
    <row r="22" spans="1:8" s="50" customFormat="1" ht="12.75">
      <c r="A22" s="1777"/>
      <c r="B22" s="1779" t="s">
        <v>334</v>
      </c>
      <c r="C22" s="1780"/>
      <c r="D22" s="61"/>
      <c r="F22" s="66"/>
      <c r="G22" s="58"/>
      <c r="H22" s="66"/>
    </row>
    <row r="23" spans="1:16" s="50" customFormat="1" ht="12.75">
      <c r="A23" s="1777"/>
      <c r="B23" s="1779" t="s">
        <v>127</v>
      </c>
      <c r="C23" s="1780"/>
      <c r="D23" s="61"/>
      <c r="F23" s="66"/>
      <c r="G23" s="58"/>
      <c r="H23" s="66"/>
      <c r="N23" s="57"/>
      <c r="P23" s="57"/>
    </row>
    <row r="24" spans="1:14" s="50" customFormat="1" ht="12.75">
      <c r="A24" s="1777"/>
      <c r="B24" s="60" t="s">
        <v>335</v>
      </c>
      <c r="C24" s="61"/>
      <c r="D24" s="61"/>
      <c r="F24" s="66"/>
      <c r="G24" s="58"/>
      <c r="H24" s="66"/>
      <c r="N24" s="57"/>
    </row>
    <row r="25" spans="1:14" s="50" customFormat="1" ht="12.75">
      <c r="A25" s="1777"/>
      <c r="B25" s="1771" t="s">
        <v>336</v>
      </c>
      <c r="C25" s="1773"/>
      <c r="D25" s="1773"/>
      <c r="E25" s="1772"/>
      <c r="F25" s="1389">
        <f>SUM(F22:F24)</f>
        <v>0</v>
      </c>
      <c r="G25" s="1389">
        <v>0</v>
      </c>
      <c r="H25" s="1389">
        <v>0</v>
      </c>
      <c r="N25" s="57"/>
    </row>
    <row r="26" spans="1:16" s="50" customFormat="1" ht="12.75">
      <c r="A26" s="1777"/>
      <c r="B26" s="1390" t="s">
        <v>337</v>
      </c>
      <c r="C26" s="1391"/>
      <c r="D26" s="1391"/>
      <c r="E26" s="1386"/>
      <c r="F26" s="65"/>
      <c r="G26" s="55"/>
      <c r="H26" s="65"/>
      <c r="N26" s="57"/>
      <c r="O26" s="57"/>
      <c r="P26" s="57"/>
    </row>
    <row r="27" spans="1:16" s="50" customFormat="1" ht="12.75">
      <c r="A27" s="1777"/>
      <c r="B27" s="1390" t="s">
        <v>1198</v>
      </c>
      <c r="C27" s="1391"/>
      <c r="D27" s="1391"/>
      <c r="E27" s="111"/>
      <c r="F27" s="65"/>
      <c r="G27" s="55"/>
      <c r="H27" s="65"/>
      <c r="N27" s="57"/>
      <c r="P27" s="57"/>
    </row>
    <row r="28" spans="1:16" s="50" customFormat="1" ht="12.75">
      <c r="A28" s="1777"/>
      <c r="B28" s="2" t="s">
        <v>1171</v>
      </c>
      <c r="D28" s="61"/>
      <c r="E28" s="59"/>
      <c r="F28" s="66"/>
      <c r="G28" s="58"/>
      <c r="H28" s="66"/>
      <c r="N28" s="57"/>
      <c r="O28" s="57"/>
      <c r="P28" s="57"/>
    </row>
    <row r="29" spans="1:16" s="50" customFormat="1" ht="12.75">
      <c r="A29" s="1777"/>
      <c r="B29" s="1771" t="s">
        <v>1197</v>
      </c>
      <c r="C29" s="1773"/>
      <c r="D29" s="1773"/>
      <c r="E29" s="1772"/>
      <c r="F29" s="1387">
        <f>SUM(F27:F28)</f>
        <v>0</v>
      </c>
      <c r="G29" s="1387">
        <v>0</v>
      </c>
      <c r="H29" s="1387">
        <v>0</v>
      </c>
      <c r="N29" s="57"/>
      <c r="O29" s="57"/>
      <c r="P29" s="57"/>
    </row>
    <row r="30" spans="1:16" s="50" customFormat="1" ht="12.75">
      <c r="A30" s="1777"/>
      <c r="B30" s="1781" t="s">
        <v>338</v>
      </c>
      <c r="C30" s="1392" t="s">
        <v>339</v>
      </c>
      <c r="D30" s="1393"/>
      <c r="E30" s="1394"/>
      <c r="F30" s="66"/>
      <c r="G30" s="58"/>
      <c r="H30" s="66"/>
      <c r="N30" s="57"/>
      <c r="P30" s="57"/>
    </row>
    <row r="31" spans="1:14" s="50" customFormat="1" ht="12.75">
      <c r="A31" s="1777"/>
      <c r="B31" s="1782"/>
      <c r="C31" s="1395" t="s">
        <v>340</v>
      </c>
      <c r="D31" s="1396"/>
      <c r="E31" s="1397"/>
      <c r="F31" s="66"/>
      <c r="G31" s="58"/>
      <c r="H31" s="66"/>
      <c r="N31" s="57"/>
    </row>
    <row r="32" spans="1:14" s="50" customFormat="1" ht="12.75" customHeight="1">
      <c r="A32" s="1777"/>
      <c r="B32" s="1783" t="s">
        <v>341</v>
      </c>
      <c r="C32" s="1784"/>
      <c r="D32" s="1398"/>
      <c r="E32" s="1399"/>
      <c r="F32" s="66"/>
      <c r="G32" s="58"/>
      <c r="H32" s="66"/>
      <c r="N32" s="57"/>
    </row>
    <row r="33" spans="1:8" s="50" customFormat="1" ht="12.75">
      <c r="A33" s="1777"/>
      <c r="B33" s="1779" t="s">
        <v>340</v>
      </c>
      <c r="C33" s="1780"/>
      <c r="D33" s="1400"/>
      <c r="E33" s="1401"/>
      <c r="F33" s="66"/>
      <c r="G33" s="58"/>
      <c r="H33" s="66"/>
    </row>
    <row r="34" spans="1:8" s="50" customFormat="1" ht="12.75">
      <c r="A34" s="1777"/>
      <c r="B34" s="1771" t="s">
        <v>342</v>
      </c>
      <c r="C34" s="1773"/>
      <c r="D34" s="1773"/>
      <c r="E34" s="1772"/>
      <c r="F34" s="1387">
        <f>SUM(F30:F33)</f>
        <v>0</v>
      </c>
      <c r="G34" s="1387">
        <v>0</v>
      </c>
      <c r="H34" s="1387">
        <v>0</v>
      </c>
    </row>
    <row r="35" spans="1:8" s="50" customFormat="1" ht="12.75">
      <c r="A35" s="1777"/>
      <c r="B35" s="1785" t="s">
        <v>1005</v>
      </c>
      <c r="C35" s="1786"/>
      <c r="D35" s="1403"/>
      <c r="E35" s="1404"/>
      <c r="F35" s="494"/>
      <c r="G35" s="478"/>
      <c r="H35" s="494"/>
    </row>
    <row r="36" spans="1:14" s="50" customFormat="1" ht="12.75">
      <c r="A36" s="1778"/>
      <c r="B36" s="1774" t="s">
        <v>343</v>
      </c>
      <c r="C36" s="1775"/>
      <c r="D36" s="1775"/>
      <c r="E36" s="1776"/>
      <c r="F36" s="1463">
        <f>F34+F29+F26+F25+F21</f>
        <v>0</v>
      </c>
      <c r="G36" s="1463">
        <v>0</v>
      </c>
      <c r="H36" s="1463">
        <v>0</v>
      </c>
      <c r="N36" s="57"/>
    </row>
    <row r="37" spans="1:8" s="50" customFormat="1" ht="13.5" customHeight="1">
      <c r="A37" s="1787" t="s">
        <v>344</v>
      </c>
      <c r="B37" s="1788"/>
      <c r="C37" s="1788"/>
      <c r="D37" s="1788"/>
      <c r="E37" s="1788"/>
      <c r="F37" s="1460">
        <f>F18-F36</f>
        <v>0</v>
      </c>
      <c r="G37" s="1460">
        <v>0</v>
      </c>
      <c r="H37" s="1460">
        <v>0</v>
      </c>
    </row>
    <row r="38" spans="1:8" s="50" customFormat="1" ht="13.5" customHeight="1">
      <c r="A38" s="1789"/>
      <c r="B38" s="1791" t="s">
        <v>345</v>
      </c>
      <c r="C38" s="1792"/>
      <c r="D38" s="1792"/>
      <c r="E38" s="1793"/>
      <c r="F38" s="1405"/>
      <c r="G38" s="1406"/>
      <c r="H38" s="1405"/>
    </row>
    <row r="39" spans="1:8" s="50" customFormat="1" ht="12.75">
      <c r="A39" s="1790"/>
      <c r="B39" s="1794" t="s">
        <v>346</v>
      </c>
      <c r="C39" s="1795"/>
      <c r="D39" s="1795"/>
      <c r="E39" s="1796"/>
      <c r="F39" s="1407"/>
      <c r="G39" s="1407"/>
      <c r="H39" s="1407"/>
    </row>
    <row r="40" spans="1:8" s="50" customFormat="1" ht="12.75">
      <c r="A40" s="1787" t="s">
        <v>347</v>
      </c>
      <c r="B40" s="1797"/>
      <c r="C40" s="1797"/>
      <c r="D40" s="1797"/>
      <c r="E40" s="1798"/>
      <c r="F40" s="486">
        <v>0</v>
      </c>
      <c r="G40" s="486">
        <v>0</v>
      </c>
      <c r="H40" s="486">
        <v>0</v>
      </c>
    </row>
    <row r="41" spans="1:13" s="50" customFormat="1" ht="13.5" customHeight="1">
      <c r="A41" s="1799"/>
      <c r="B41" s="1" t="s">
        <v>348</v>
      </c>
      <c r="C41" s="1386"/>
      <c r="D41" s="271"/>
      <c r="E41" s="111"/>
      <c r="F41" s="65"/>
      <c r="G41" s="55"/>
      <c r="H41" s="4"/>
      <c r="I41" s="57"/>
      <c r="J41" s="57"/>
      <c r="K41" s="57"/>
      <c r="L41" s="58"/>
      <c r="M41" s="66"/>
    </row>
    <row r="42" spans="1:13" s="50" customFormat="1" ht="13.5" customHeight="1">
      <c r="A42" s="1800"/>
      <c r="B42" s="2" t="s">
        <v>349</v>
      </c>
      <c r="D42" s="57"/>
      <c r="E42" s="59"/>
      <c r="F42" s="66"/>
      <c r="G42" s="58"/>
      <c r="H42" s="4"/>
      <c r="I42" s="57"/>
      <c r="J42" s="57"/>
      <c r="K42" s="57"/>
      <c r="L42" s="58"/>
      <c r="M42" s="66"/>
    </row>
    <row r="43" spans="1:13" s="50" customFormat="1" ht="13.5" customHeight="1">
      <c r="A43" s="1800"/>
      <c r="B43" s="2" t="s">
        <v>350</v>
      </c>
      <c r="D43" s="57"/>
      <c r="E43" s="59"/>
      <c r="F43" s="66"/>
      <c r="G43" s="58"/>
      <c r="H43" s="4"/>
      <c r="I43" s="57"/>
      <c r="J43" s="57"/>
      <c r="K43" s="57"/>
      <c r="L43" s="58"/>
      <c r="M43" s="66"/>
    </row>
    <row r="44" spans="1:13" s="50" customFormat="1" ht="13.5" customHeight="1">
      <c r="A44" s="1800"/>
      <c r="B44" s="2" t="s">
        <v>1015</v>
      </c>
      <c r="C44" s="57"/>
      <c r="D44" s="57"/>
      <c r="E44" s="59"/>
      <c r="F44" s="66"/>
      <c r="G44" s="58"/>
      <c r="H44" s="4"/>
      <c r="I44" s="57"/>
      <c r="J44" s="57"/>
      <c r="K44" s="57"/>
      <c r="L44" s="58"/>
      <c r="M44" s="66"/>
    </row>
    <row r="45" spans="1:13" s="50" customFormat="1" ht="13.5" customHeight="1">
      <c r="A45" s="1800"/>
      <c r="B45" s="2" t="s">
        <v>351</v>
      </c>
      <c r="C45" s="57"/>
      <c r="D45" s="57"/>
      <c r="E45" s="59"/>
      <c r="F45" s="66"/>
      <c r="G45" s="58"/>
      <c r="H45" s="4"/>
      <c r="I45" s="57"/>
      <c r="J45" s="57"/>
      <c r="K45" s="57"/>
      <c r="L45" s="58"/>
      <c r="M45" s="66"/>
    </row>
    <row r="46" spans="1:13" s="50" customFormat="1" ht="13.5" customHeight="1">
      <c r="A46" s="1800"/>
      <c r="B46" s="1408" t="s">
        <v>352</v>
      </c>
      <c r="C46" s="477"/>
      <c r="D46" s="477"/>
      <c r="E46" s="62"/>
      <c r="F46" s="494"/>
      <c r="G46" s="478"/>
      <c r="H46" s="4"/>
      <c r="I46" s="57"/>
      <c r="J46" s="57"/>
      <c r="K46" s="57"/>
      <c r="L46" s="58"/>
      <c r="M46" s="66"/>
    </row>
    <row r="47" spans="1:13" s="50" customFormat="1" ht="13.5" customHeight="1">
      <c r="A47" s="1801"/>
      <c r="B47" s="1802"/>
      <c r="C47" s="1802"/>
      <c r="D47" s="1802"/>
      <c r="E47" s="1803"/>
      <c r="F47" s="1409">
        <v>0</v>
      </c>
      <c r="G47" s="1410"/>
      <c r="H47" s="1411"/>
      <c r="I47" s="57"/>
      <c r="J47" s="57"/>
      <c r="K47" s="57"/>
      <c r="L47" s="58"/>
      <c r="M47" s="66"/>
    </row>
    <row r="48" spans="1:13" s="50" customFormat="1" ht="13.5" customHeight="1">
      <c r="A48" s="1804" t="s">
        <v>353</v>
      </c>
      <c r="B48" s="60" t="s">
        <v>1010</v>
      </c>
      <c r="C48" s="61"/>
      <c r="D48" s="61"/>
      <c r="F48" s="66"/>
      <c r="G48" s="58"/>
      <c r="H48" s="4"/>
      <c r="I48" s="57"/>
      <c r="J48" s="57"/>
      <c r="K48" s="57"/>
      <c r="L48" s="58"/>
      <c r="M48" s="66"/>
    </row>
    <row r="49" spans="1:13" s="50" customFormat="1" ht="13.5" customHeight="1">
      <c r="A49" s="1804"/>
      <c r="B49" s="60" t="s">
        <v>1012</v>
      </c>
      <c r="C49" s="61"/>
      <c r="D49" s="61"/>
      <c r="F49" s="66"/>
      <c r="G49" s="58"/>
      <c r="H49" s="4"/>
      <c r="I49" s="57"/>
      <c r="J49" s="57"/>
      <c r="K49" s="57"/>
      <c r="L49" s="58"/>
      <c r="M49" s="66"/>
    </row>
    <row r="50" spans="1:13" s="50" customFormat="1" ht="13.5" customHeight="1">
      <c r="A50" s="1804"/>
      <c r="B50" s="60" t="s">
        <v>748</v>
      </c>
      <c r="C50" s="61"/>
      <c r="D50" s="61"/>
      <c r="F50" s="66"/>
      <c r="G50" s="58"/>
      <c r="H50" s="4"/>
      <c r="I50" s="57"/>
      <c r="J50" s="57"/>
      <c r="K50" s="57"/>
      <c r="L50" s="58"/>
      <c r="M50" s="66"/>
    </row>
    <row r="51" spans="1:13" s="50" customFormat="1" ht="13.5" customHeight="1">
      <c r="A51" s="1804"/>
      <c r="B51" s="2" t="s">
        <v>749</v>
      </c>
      <c r="F51" s="66"/>
      <c r="G51" s="58"/>
      <c r="H51" s="4"/>
      <c r="I51" s="57"/>
      <c r="J51" s="57"/>
      <c r="K51" s="57"/>
      <c r="L51" s="58"/>
      <c r="M51" s="66"/>
    </row>
    <row r="52" spans="1:13" s="50" customFormat="1" ht="13.5" customHeight="1">
      <c r="A52" s="1804"/>
      <c r="B52" s="2" t="s">
        <v>750</v>
      </c>
      <c r="F52" s="66"/>
      <c r="G52" s="58"/>
      <c r="H52" s="4"/>
      <c r="I52" s="57"/>
      <c r="J52" s="57"/>
      <c r="K52" s="57"/>
      <c r="L52" s="58"/>
      <c r="M52" s="66"/>
    </row>
    <row r="53" spans="1:13" s="50" customFormat="1" ht="13.5" customHeight="1">
      <c r="A53" s="1805"/>
      <c r="B53" s="1806" t="s">
        <v>354</v>
      </c>
      <c r="C53" s="1807"/>
      <c r="D53" s="1807"/>
      <c r="E53" s="1808"/>
      <c r="F53" s="100">
        <v>0</v>
      </c>
      <c r="G53" s="100">
        <v>0</v>
      </c>
      <c r="H53" s="100">
        <v>0</v>
      </c>
      <c r="I53" s="57"/>
      <c r="J53" s="57"/>
      <c r="K53" s="57"/>
      <c r="L53" s="58"/>
      <c r="M53" s="66"/>
    </row>
    <row r="54" spans="1:8" s="50" customFormat="1" ht="12.75">
      <c r="A54" s="1787" t="s">
        <v>355</v>
      </c>
      <c r="B54" s="1797"/>
      <c r="C54" s="1797"/>
      <c r="D54" s="1797"/>
      <c r="E54" s="1798"/>
      <c r="F54" s="486">
        <v>0</v>
      </c>
      <c r="G54" s="486">
        <v>0</v>
      </c>
      <c r="H54" s="486">
        <v>0</v>
      </c>
    </row>
    <row r="55" spans="1:8" s="50" customFormat="1" ht="12.75">
      <c r="A55" s="1809" t="s">
        <v>356</v>
      </c>
      <c r="B55" s="1810"/>
      <c r="C55" s="1810"/>
      <c r="D55" s="1810"/>
      <c r="E55" s="1811"/>
      <c r="F55" s="1462">
        <v>0</v>
      </c>
      <c r="G55" s="1462">
        <v>0</v>
      </c>
      <c r="H55" s="1462">
        <v>0</v>
      </c>
    </row>
    <row r="56" spans="1:8" s="1416" customFormat="1" ht="12.75">
      <c r="A56" s="1412"/>
      <c r="B56" s="1413"/>
      <c r="C56" s="1413"/>
      <c r="D56" s="1413"/>
      <c r="E56" s="1413"/>
      <c r="F56" s="1414"/>
      <c r="G56" s="1415"/>
      <c r="H56" s="1415"/>
    </row>
    <row r="57" spans="1:8" s="1416" customFormat="1" ht="12.75">
      <c r="A57" s="1417"/>
      <c r="B57" s="1418"/>
      <c r="C57" s="1418"/>
      <c r="D57" s="1418"/>
      <c r="E57" s="1418"/>
      <c r="F57" s="1419"/>
      <c r="G57" s="1420"/>
      <c r="H57" s="1420"/>
    </row>
    <row r="58" spans="1:8" s="1416" customFormat="1" ht="12.75">
      <c r="A58" s="1417"/>
      <c r="B58" s="1418"/>
      <c r="C58" s="1418"/>
      <c r="D58" s="1418"/>
      <c r="E58" s="1418"/>
      <c r="F58" s="1419"/>
      <c r="G58" s="1420"/>
      <c r="H58" s="1420"/>
    </row>
    <row r="59" spans="1:8" s="1416" customFormat="1" ht="12.75">
      <c r="A59" s="1421"/>
      <c r="B59" s="1422"/>
      <c r="C59" s="1422"/>
      <c r="D59" s="1422"/>
      <c r="E59" s="1422"/>
      <c r="F59" s="1423"/>
      <c r="G59" s="1424"/>
      <c r="H59" s="1424"/>
    </row>
    <row r="60" spans="1:13" s="50" customFormat="1" ht="13.5" customHeight="1">
      <c r="A60" s="1800" t="s">
        <v>357</v>
      </c>
      <c r="B60" s="2" t="s">
        <v>358</v>
      </c>
      <c r="C60" s="57"/>
      <c r="D60" s="57"/>
      <c r="F60" s="4">
        <v>657</v>
      </c>
      <c r="G60" s="66"/>
      <c r="H60" s="4"/>
      <c r="I60" s="57"/>
      <c r="J60" s="57"/>
      <c r="K60" s="58"/>
      <c r="L60" s="58"/>
      <c r="M60" s="66"/>
    </row>
    <row r="61" spans="1:13" s="50" customFormat="1" ht="13.5" customHeight="1">
      <c r="A61" s="1800"/>
      <c r="B61" s="2" t="s">
        <v>359</v>
      </c>
      <c r="C61" s="57"/>
      <c r="D61" s="57"/>
      <c r="F61" s="66">
        <v>203805</v>
      </c>
      <c r="G61" s="66"/>
      <c r="H61" s="4"/>
      <c r="I61" s="57"/>
      <c r="J61" s="57"/>
      <c r="K61" s="58"/>
      <c r="L61" s="58"/>
      <c r="M61" s="66"/>
    </row>
    <row r="62" spans="1:13" s="50" customFormat="1" ht="13.5" customHeight="1">
      <c r="A62" s="1800"/>
      <c r="B62" s="2" t="s">
        <v>360</v>
      </c>
      <c r="C62" s="57"/>
      <c r="D62" s="57"/>
      <c r="F62" s="66">
        <v>10760</v>
      </c>
      <c r="G62" s="66"/>
      <c r="H62" s="4"/>
      <c r="I62" s="57"/>
      <c r="J62" s="57"/>
      <c r="K62" s="58"/>
      <c r="L62" s="58"/>
      <c r="M62" s="66"/>
    </row>
    <row r="63" spans="1:13" s="50" customFormat="1" ht="13.5" customHeight="1">
      <c r="A63" s="1812"/>
      <c r="B63" s="1813" t="s">
        <v>361</v>
      </c>
      <c r="C63" s="1813"/>
      <c r="D63" s="1813"/>
      <c r="E63" s="1813"/>
      <c r="F63" s="1388">
        <v>215222</v>
      </c>
      <c r="G63" s="1388">
        <v>0</v>
      </c>
      <c r="H63" s="1388">
        <v>0</v>
      </c>
      <c r="I63" s="57"/>
      <c r="J63" s="57"/>
      <c r="K63" s="58"/>
      <c r="L63" s="58"/>
      <c r="M63" s="66"/>
    </row>
    <row r="64" spans="1:13" s="50" customFormat="1" ht="13.5" customHeight="1">
      <c r="A64" s="1814" t="s">
        <v>362</v>
      </c>
      <c r="B64" s="60" t="s">
        <v>363</v>
      </c>
      <c r="C64" s="61"/>
      <c r="D64" s="61"/>
      <c r="F64" s="66">
        <v>1032</v>
      </c>
      <c r="G64" s="66"/>
      <c r="H64" s="4"/>
      <c r="I64" s="57"/>
      <c r="J64" s="57"/>
      <c r="K64" s="58"/>
      <c r="L64" s="58"/>
      <c r="M64" s="66"/>
    </row>
    <row r="65" spans="1:13" s="50" customFormat="1" ht="13.5" customHeight="1">
      <c r="A65" s="1804"/>
      <c r="B65" s="60" t="s">
        <v>364</v>
      </c>
      <c r="C65" s="61"/>
      <c r="D65" s="61"/>
      <c r="F65" s="66">
        <v>127130</v>
      </c>
      <c r="G65" s="66"/>
      <c r="H65" s="4"/>
      <c r="I65" s="57"/>
      <c r="J65" s="57"/>
      <c r="K65" s="58"/>
      <c r="L65" s="58"/>
      <c r="M65" s="66"/>
    </row>
    <row r="66" spans="1:13" s="50" customFormat="1" ht="13.5" customHeight="1">
      <c r="A66" s="1804"/>
      <c r="B66" s="60" t="s">
        <v>365</v>
      </c>
      <c r="C66" s="61"/>
      <c r="D66" s="61"/>
      <c r="F66" s="66">
        <v>8080</v>
      </c>
      <c r="G66" s="66"/>
      <c r="H66" s="4"/>
      <c r="I66" s="57"/>
      <c r="J66" s="57"/>
      <c r="K66" s="58"/>
      <c r="L66" s="58"/>
      <c r="M66" s="66"/>
    </row>
    <row r="67" spans="1:13" s="50" customFormat="1" ht="13.5" customHeight="1">
      <c r="A67" s="1805"/>
      <c r="B67" s="1815" t="s">
        <v>366</v>
      </c>
      <c r="C67" s="1816"/>
      <c r="D67" s="1816"/>
      <c r="E67" s="1817"/>
      <c r="F67" s="100">
        <v>136242</v>
      </c>
      <c r="G67" s="100">
        <v>0</v>
      </c>
      <c r="H67" s="100">
        <v>0</v>
      </c>
      <c r="I67" s="57"/>
      <c r="J67" s="57"/>
      <c r="K67" s="58"/>
      <c r="L67" s="58"/>
      <c r="M67" s="66"/>
    </row>
    <row r="68" spans="1:8" s="50" customFormat="1" ht="12.75">
      <c r="A68" s="1787" t="s">
        <v>367</v>
      </c>
      <c r="B68" s="1797"/>
      <c r="C68" s="1797"/>
      <c r="D68" s="1797"/>
      <c r="E68" s="1798"/>
      <c r="F68" s="486">
        <v>67563</v>
      </c>
      <c r="G68" s="486">
        <v>0</v>
      </c>
      <c r="H68" s="486">
        <v>0</v>
      </c>
    </row>
    <row r="69" spans="1:13" s="50" customFormat="1" ht="13.5" customHeight="1">
      <c r="A69" s="1425"/>
      <c r="B69" s="1818" t="s">
        <v>368</v>
      </c>
      <c r="C69" s="1819"/>
      <c r="D69" s="1819"/>
      <c r="E69" s="1820"/>
      <c r="F69" s="1426">
        <v>62899</v>
      </c>
      <c r="G69" s="1426"/>
      <c r="H69" s="1426"/>
      <c r="I69" s="57"/>
      <c r="J69" s="57"/>
      <c r="K69" s="58"/>
      <c r="L69" s="58"/>
      <c r="M69" s="66"/>
    </row>
    <row r="70" spans="1:13" s="50" customFormat="1" ht="13.5" customHeight="1">
      <c r="A70" s="1427"/>
      <c r="B70" s="1821"/>
      <c r="C70" s="1822"/>
      <c r="D70" s="469"/>
      <c r="E70" s="469"/>
      <c r="F70" s="68"/>
      <c r="G70" s="68"/>
      <c r="H70" s="68"/>
      <c r="I70" s="57"/>
      <c r="J70" s="57"/>
      <c r="K70" s="58"/>
      <c r="L70" s="58"/>
      <c r="M70" s="66"/>
    </row>
    <row r="71" spans="1:13" s="50" customFormat="1" ht="13.5" customHeight="1">
      <c r="A71" s="1428"/>
      <c r="B71" s="1823" t="s">
        <v>369</v>
      </c>
      <c r="C71" s="1824"/>
      <c r="D71" s="1824"/>
      <c r="E71" s="1825"/>
      <c r="F71" s="1429">
        <v>148473</v>
      </c>
      <c r="G71" s="1429"/>
      <c r="H71" s="1429"/>
      <c r="I71" s="57"/>
      <c r="J71" s="57"/>
      <c r="K71" s="58"/>
      <c r="L71" s="58"/>
      <c r="M71" s="66"/>
    </row>
    <row r="72" spans="1:8" ht="12.75">
      <c r="A72" s="1430"/>
      <c r="B72" s="51"/>
      <c r="C72" s="51"/>
      <c r="D72" s="51"/>
      <c r="E72" s="52"/>
      <c r="F72" s="364"/>
      <c r="G72" s="364"/>
      <c r="H72" s="22"/>
    </row>
    <row r="73" spans="1:13" s="50" customFormat="1" ht="13.5" customHeight="1">
      <c r="A73" s="1826" t="s">
        <v>370</v>
      </c>
      <c r="B73" s="1827"/>
      <c r="C73" s="1827"/>
      <c r="D73" s="1827"/>
      <c r="E73" s="1828"/>
      <c r="F73" s="1388">
        <v>215222</v>
      </c>
      <c r="G73" s="1388"/>
      <c r="H73" s="1431"/>
      <c r="I73" s="57"/>
      <c r="J73" s="57"/>
      <c r="K73" s="58"/>
      <c r="L73" s="58"/>
      <c r="M73" s="66"/>
    </row>
    <row r="74" spans="1:13" s="50" customFormat="1" ht="13.5" customHeight="1">
      <c r="A74" s="1432"/>
      <c r="E74" s="57"/>
      <c r="F74" s="66"/>
      <c r="G74" s="66"/>
      <c r="H74" s="59"/>
      <c r="I74" s="57"/>
      <c r="J74" s="57"/>
      <c r="K74" s="58"/>
      <c r="L74" s="58"/>
      <c r="M74" s="66"/>
    </row>
    <row r="75" spans="1:13" s="50" customFormat="1" ht="13.5" customHeight="1">
      <c r="A75" s="1829" t="s">
        <v>371</v>
      </c>
      <c r="B75" s="1830"/>
      <c r="C75" s="1830"/>
      <c r="D75" s="1830"/>
      <c r="E75" s="1831"/>
      <c r="F75" s="100">
        <v>347614</v>
      </c>
      <c r="G75" s="100"/>
      <c r="H75" s="1433"/>
      <c r="I75" s="57"/>
      <c r="J75" s="57"/>
      <c r="K75" s="58"/>
      <c r="L75" s="58"/>
      <c r="M75" s="66"/>
    </row>
    <row r="76" spans="1:13" s="50" customFormat="1" ht="13.5" customHeight="1">
      <c r="A76" s="1432"/>
      <c r="E76" s="57"/>
      <c r="F76" s="494"/>
      <c r="G76" s="494"/>
      <c r="H76" s="62"/>
      <c r="I76" s="57"/>
      <c r="J76" s="57"/>
      <c r="K76" s="58"/>
      <c r="L76" s="58"/>
      <c r="M76" s="66"/>
    </row>
    <row r="77" spans="1:13" s="50" customFormat="1" ht="13.5" customHeight="1">
      <c r="A77" s="1787" t="s">
        <v>372</v>
      </c>
      <c r="B77" s="1797"/>
      <c r="C77" s="1797"/>
      <c r="D77" s="1797"/>
      <c r="E77" s="1798"/>
      <c r="F77" s="1461">
        <v>-132392</v>
      </c>
      <c r="G77" s="1461">
        <v>0</v>
      </c>
      <c r="H77" s="1461">
        <v>0</v>
      </c>
      <c r="I77" s="57"/>
      <c r="J77" s="57"/>
      <c r="K77" s="58"/>
      <c r="L77" s="58"/>
      <c r="M77" s="66"/>
    </row>
    <row r="78" spans="1:13" s="50" customFormat="1" ht="13.5" customHeight="1">
      <c r="A78" s="1834" t="s">
        <v>1235</v>
      </c>
      <c r="B78" s="1838" t="s">
        <v>373</v>
      </c>
      <c r="C78" s="1839"/>
      <c r="D78" s="1839"/>
      <c r="E78" s="1839"/>
      <c r="F78" s="65"/>
      <c r="G78" s="65"/>
      <c r="H78" s="65"/>
      <c r="I78" s="57"/>
      <c r="J78" s="57"/>
      <c r="K78" s="58"/>
      <c r="L78" s="58"/>
      <c r="M78" s="66"/>
    </row>
    <row r="79" spans="1:13" s="50" customFormat="1" ht="13.5" customHeight="1">
      <c r="A79" s="1835"/>
      <c r="B79" s="1840" t="s">
        <v>374</v>
      </c>
      <c r="C79" s="1398" t="s">
        <v>375</v>
      </c>
      <c r="D79" s="1398"/>
      <c r="E79" s="1434"/>
      <c r="F79" s="66"/>
      <c r="G79" s="66"/>
      <c r="H79" s="4"/>
      <c r="I79" s="57"/>
      <c r="J79" s="57"/>
      <c r="K79" s="58"/>
      <c r="L79" s="58"/>
      <c r="M79" s="66"/>
    </row>
    <row r="80" spans="1:13" s="50" customFormat="1" ht="13.5" customHeight="1">
      <c r="A80" s="1835"/>
      <c r="B80" s="1841"/>
      <c r="C80" s="1435" t="s">
        <v>376</v>
      </c>
      <c r="D80" s="1396"/>
      <c r="E80" s="1436"/>
      <c r="F80" s="66"/>
      <c r="G80" s="66"/>
      <c r="H80" s="4"/>
      <c r="I80" s="57"/>
      <c r="J80" s="57"/>
      <c r="K80" s="58"/>
      <c r="L80" s="58"/>
      <c r="M80" s="66"/>
    </row>
    <row r="81" spans="1:13" ht="12.75">
      <c r="A81" s="1835"/>
      <c r="B81" s="1842" t="s">
        <v>374</v>
      </c>
      <c r="C81" s="238" t="s">
        <v>1240</v>
      </c>
      <c r="D81" s="238"/>
      <c r="E81" s="238"/>
      <c r="F81" s="1055">
        <v>10000</v>
      </c>
      <c r="G81" s="1055"/>
      <c r="H81" s="14"/>
      <c r="I81" s="252"/>
      <c r="J81" s="252"/>
      <c r="K81" s="252"/>
      <c r="L81" s="252"/>
      <c r="M81" s="253"/>
    </row>
    <row r="82" spans="1:13" ht="12.75">
      <c r="A82" s="1835"/>
      <c r="B82" s="1843"/>
      <c r="C82" s="1437" t="s">
        <v>1241</v>
      </c>
      <c r="D82" s="1437"/>
      <c r="E82" s="1437"/>
      <c r="F82" s="1055"/>
      <c r="G82" s="1055"/>
      <c r="H82" s="14"/>
      <c r="I82" s="252"/>
      <c r="J82" s="252"/>
      <c r="K82" s="252"/>
      <c r="L82" s="252"/>
      <c r="M82" s="253"/>
    </row>
    <row r="83" spans="1:13" s="50" customFormat="1" ht="13.5" customHeight="1">
      <c r="A83" s="1835"/>
      <c r="B83" s="1844" t="s">
        <v>377</v>
      </c>
      <c r="C83" s="1845"/>
      <c r="D83" s="1845"/>
      <c r="E83" s="1845"/>
      <c r="F83" s="66"/>
      <c r="G83" s="66"/>
      <c r="H83" s="4"/>
      <c r="I83" s="57"/>
      <c r="J83" s="57"/>
      <c r="K83" s="58"/>
      <c r="L83" s="58"/>
      <c r="M83" s="66"/>
    </row>
    <row r="84" spans="1:13" s="50" customFormat="1" ht="13.5" customHeight="1">
      <c r="A84" s="1835"/>
      <c r="B84" s="1844" t="s">
        <v>378</v>
      </c>
      <c r="C84" s="1845"/>
      <c r="D84" s="1845"/>
      <c r="E84" s="1845"/>
      <c r="F84" s="66"/>
      <c r="G84" s="66"/>
      <c r="H84" s="4"/>
      <c r="I84" s="57"/>
      <c r="J84" s="57"/>
      <c r="K84" s="58"/>
      <c r="L84" s="58"/>
      <c r="M84" s="66"/>
    </row>
    <row r="85" spans="1:13" s="50" customFormat="1" ht="13.5" customHeight="1">
      <c r="A85" s="1835"/>
      <c r="B85" s="1438" t="s">
        <v>379</v>
      </c>
      <c r="C85" s="1439"/>
      <c r="D85" s="1439"/>
      <c r="E85" s="1439"/>
      <c r="F85" s="1440"/>
      <c r="G85" s="66"/>
      <c r="H85" s="4"/>
      <c r="I85" s="57"/>
      <c r="J85" s="57"/>
      <c r="K85" s="58"/>
      <c r="L85" s="58"/>
      <c r="M85" s="66"/>
    </row>
    <row r="86" spans="1:13" s="50" customFormat="1" ht="13.5" customHeight="1">
      <c r="A86" s="1835"/>
      <c r="B86" s="1438" t="s">
        <v>380</v>
      </c>
      <c r="C86" s="1439"/>
      <c r="D86" s="1439"/>
      <c r="E86" s="1439"/>
      <c r="F86" s="66"/>
      <c r="G86" s="66"/>
      <c r="H86" s="4"/>
      <c r="I86" s="57"/>
      <c r="J86" s="57"/>
      <c r="K86" s="58"/>
      <c r="L86" s="58"/>
      <c r="M86" s="66"/>
    </row>
    <row r="87" spans="1:13" s="50" customFormat="1" ht="13.5" customHeight="1">
      <c r="A87" s="1835"/>
      <c r="B87" s="1438" t="s">
        <v>381</v>
      </c>
      <c r="C87" s="1439"/>
      <c r="D87" s="1439"/>
      <c r="E87" s="1439"/>
      <c r="F87" s="66"/>
      <c r="G87" s="66"/>
      <c r="H87" s="4"/>
      <c r="I87" s="57"/>
      <c r="J87" s="57"/>
      <c r="K87" s="58"/>
      <c r="L87" s="58"/>
      <c r="M87" s="66"/>
    </row>
    <row r="88" spans="1:13" s="50" customFormat="1" ht="13.5" customHeight="1">
      <c r="A88" s="1835"/>
      <c r="B88" s="1438" t="s">
        <v>382</v>
      </c>
      <c r="C88" s="1439"/>
      <c r="D88" s="1439"/>
      <c r="E88" s="1439"/>
      <c r="F88" s="66"/>
      <c r="G88" s="66"/>
      <c r="H88" s="4"/>
      <c r="I88" s="57"/>
      <c r="J88" s="57"/>
      <c r="K88" s="58"/>
      <c r="L88" s="58"/>
      <c r="M88" s="66"/>
    </row>
    <row r="89" spans="1:13" s="50" customFormat="1" ht="13.5" customHeight="1">
      <c r="A89" s="1836"/>
      <c r="B89" s="1438"/>
      <c r="C89" s="1439"/>
      <c r="D89" s="1439"/>
      <c r="E89" s="1439"/>
      <c r="F89" s="66"/>
      <c r="G89" s="66"/>
      <c r="H89" s="4"/>
      <c r="I89" s="57"/>
      <c r="J89" s="57"/>
      <c r="K89" s="58"/>
      <c r="L89" s="58"/>
      <c r="M89" s="66"/>
    </row>
    <row r="90" spans="1:13" s="50" customFormat="1" ht="13.5" customHeight="1">
      <c r="A90" s="1836"/>
      <c r="B90" s="1438"/>
      <c r="C90" s="1439"/>
      <c r="D90" s="1439"/>
      <c r="E90" s="1439"/>
      <c r="F90" s="66"/>
      <c r="G90" s="66"/>
      <c r="H90" s="4"/>
      <c r="I90" s="57"/>
      <c r="J90" s="57"/>
      <c r="K90" s="58"/>
      <c r="L90" s="58"/>
      <c r="M90" s="66"/>
    </row>
    <row r="91" spans="1:13" s="50" customFormat="1" ht="13.5" customHeight="1">
      <c r="A91" s="1836"/>
      <c r="B91" s="1438"/>
      <c r="C91" s="1439"/>
      <c r="D91" s="1439"/>
      <c r="E91" s="1439"/>
      <c r="F91" s="66"/>
      <c r="G91" s="66"/>
      <c r="H91" s="4"/>
      <c r="I91" s="57"/>
      <c r="J91" s="57"/>
      <c r="K91" s="58"/>
      <c r="L91" s="58"/>
      <c r="M91" s="66"/>
    </row>
    <row r="92" spans="1:13" s="50" customFormat="1" ht="13.5" customHeight="1">
      <c r="A92" s="1836"/>
      <c r="B92" s="1438"/>
      <c r="C92" s="1439"/>
      <c r="D92" s="1439"/>
      <c r="E92" s="1439"/>
      <c r="F92" s="66"/>
      <c r="G92" s="66"/>
      <c r="H92" s="4"/>
      <c r="I92" s="57"/>
      <c r="J92" s="57"/>
      <c r="K92" s="58"/>
      <c r="L92" s="58"/>
      <c r="M92" s="66"/>
    </row>
    <row r="93" spans="1:13" s="50" customFormat="1" ht="13.5" customHeight="1">
      <c r="A93" s="1836"/>
      <c r="B93" s="1441"/>
      <c r="C93" s="1442"/>
      <c r="D93" s="1442"/>
      <c r="E93" s="1442"/>
      <c r="F93" s="494"/>
      <c r="G93" s="494"/>
      <c r="H93" s="5"/>
      <c r="I93" s="57"/>
      <c r="J93" s="57"/>
      <c r="K93" s="58"/>
      <c r="L93" s="58"/>
      <c r="M93" s="66"/>
    </row>
    <row r="94" spans="1:13" s="1446" customFormat="1" ht="12.75" customHeight="1">
      <c r="A94" s="1835"/>
      <c r="B94" s="1846" t="s">
        <v>383</v>
      </c>
      <c r="C94" s="1847"/>
      <c r="D94" s="1847"/>
      <c r="E94" s="1848"/>
      <c r="F94" s="1832" t="s">
        <v>384</v>
      </c>
      <c r="G94" s="1833"/>
      <c r="H94" s="1443"/>
      <c r="I94" s="1444"/>
      <c r="J94" s="1444"/>
      <c r="K94" s="1445"/>
      <c r="L94" s="1445"/>
      <c r="M94" s="1440"/>
    </row>
    <row r="95" spans="1:13" s="1446" customFormat="1" ht="23.25" customHeight="1">
      <c r="A95" s="1835"/>
      <c r="B95" s="1843"/>
      <c r="C95" s="1849"/>
      <c r="D95" s="1849"/>
      <c r="E95" s="1850"/>
      <c r="F95" s="1447" t="s">
        <v>1018</v>
      </c>
      <c r="G95" s="1448" t="s">
        <v>385</v>
      </c>
      <c r="H95" s="1449"/>
      <c r="I95" s="1444"/>
      <c r="J95" s="1444"/>
      <c r="K95" s="1445"/>
      <c r="L95" s="1445"/>
      <c r="M95" s="1440"/>
    </row>
    <row r="96" spans="1:13" s="50" customFormat="1" ht="13.5" customHeight="1">
      <c r="A96" s="1835"/>
      <c r="B96" s="1450" t="s">
        <v>386</v>
      </c>
      <c r="C96" s="1391"/>
      <c r="D96" s="1391"/>
      <c r="E96" s="1451"/>
      <c r="F96" s="271"/>
      <c r="G96" s="55"/>
      <c r="H96" s="3"/>
      <c r="I96" s="57"/>
      <c r="J96" s="57"/>
      <c r="K96" s="58"/>
      <c r="L96" s="58"/>
      <c r="M96" s="66"/>
    </row>
    <row r="97" spans="1:13" s="50" customFormat="1" ht="13.5" customHeight="1">
      <c r="A97" s="1835"/>
      <c r="B97" s="60" t="s">
        <v>387</v>
      </c>
      <c r="C97" s="61"/>
      <c r="D97" s="61"/>
      <c r="E97" s="1452"/>
      <c r="F97" s="57"/>
      <c r="G97" s="58"/>
      <c r="H97" s="4"/>
      <c r="I97" s="57"/>
      <c r="J97" s="57"/>
      <c r="K97" s="58"/>
      <c r="L97" s="58"/>
      <c r="M97" s="66"/>
    </row>
    <row r="98" spans="1:13" s="50" customFormat="1" ht="12.75">
      <c r="A98" s="1835"/>
      <c r="B98" s="60" t="s">
        <v>397</v>
      </c>
      <c r="C98" s="61"/>
      <c r="D98" s="61"/>
      <c r="E98" s="1452"/>
      <c r="F98" s="57"/>
      <c r="G98" s="58"/>
      <c r="H98" s="4"/>
      <c r="K98" s="59"/>
      <c r="L98" s="59"/>
      <c r="M98" s="4"/>
    </row>
    <row r="99" spans="1:8" ht="12.75">
      <c r="A99" s="1835"/>
      <c r="B99" s="1438" t="s">
        <v>399</v>
      </c>
      <c r="C99" s="1439"/>
      <c r="D99" s="1439"/>
      <c r="E99" s="1453"/>
      <c r="F99" s="386"/>
      <c r="G99" s="1454"/>
      <c r="H99" s="1455"/>
    </row>
    <row r="100" spans="1:8" ht="12.75">
      <c r="A100" s="1835"/>
      <c r="B100" s="1438"/>
      <c r="C100" s="1439"/>
      <c r="D100" s="1439"/>
      <c r="E100" s="1453"/>
      <c r="F100" s="386"/>
      <c r="G100" s="1454"/>
      <c r="H100" s="1455"/>
    </row>
    <row r="101" spans="1:8" ht="12.75">
      <c r="A101" s="1835"/>
      <c r="B101" s="1438"/>
      <c r="C101" s="1439"/>
      <c r="D101" s="1439"/>
      <c r="E101" s="1453"/>
      <c r="F101" s="386"/>
      <c r="G101" s="1454"/>
      <c r="H101" s="1455"/>
    </row>
    <row r="102" spans="1:8" ht="12.75">
      <c r="A102" s="1835"/>
      <c r="B102" s="1438"/>
      <c r="C102" s="1439"/>
      <c r="D102" s="1439"/>
      <c r="E102" s="1453"/>
      <c r="F102" s="386"/>
      <c r="G102" s="1454"/>
      <c r="H102" s="1455"/>
    </row>
    <row r="103" spans="1:8" ht="12.75">
      <c r="A103" s="1835"/>
      <c r="B103" s="1438"/>
      <c r="C103" s="1439"/>
      <c r="D103" s="1439"/>
      <c r="E103" s="1453"/>
      <c r="F103" s="386"/>
      <c r="G103" s="1454"/>
      <c r="H103" s="1455"/>
    </row>
    <row r="104" spans="1:8" ht="12.75">
      <c r="A104" s="1835"/>
      <c r="B104" s="1438"/>
      <c r="C104" s="1439"/>
      <c r="D104" s="1439"/>
      <c r="E104" s="1453"/>
      <c r="F104" s="386"/>
      <c r="G104" s="1454"/>
      <c r="H104" s="1455"/>
    </row>
    <row r="105" spans="1:8" ht="12.75">
      <c r="A105" s="1835"/>
      <c r="B105" s="1438"/>
      <c r="C105" s="1439"/>
      <c r="D105" s="1439"/>
      <c r="E105" s="1453"/>
      <c r="F105" s="386"/>
      <c r="G105" s="1454"/>
      <c r="H105" s="1455"/>
    </row>
    <row r="106" spans="1:8" ht="12.75">
      <c r="A106" s="1835"/>
      <c r="B106" s="1438"/>
      <c r="C106" s="1439"/>
      <c r="D106" s="1439"/>
      <c r="E106" s="1453"/>
      <c r="F106" s="386"/>
      <c r="G106" s="1454"/>
      <c r="H106" s="1455"/>
    </row>
    <row r="107" spans="1:8" s="50" customFormat="1" ht="12.75">
      <c r="A107" s="1835"/>
      <c r="B107" s="60"/>
      <c r="C107" s="61"/>
      <c r="D107" s="61"/>
      <c r="E107" s="1452"/>
      <c r="F107" s="57"/>
      <c r="G107" s="58"/>
      <c r="H107" s="4"/>
    </row>
    <row r="108" spans="1:8" s="50" customFormat="1" ht="12.75">
      <c r="A108" s="1837"/>
      <c r="B108" s="1402"/>
      <c r="C108" s="1403"/>
      <c r="D108" s="1403"/>
      <c r="E108" s="1456"/>
      <c r="F108" s="477"/>
      <c r="G108" s="478"/>
      <c r="H108" s="5"/>
    </row>
    <row r="109" s="50" customFormat="1" ht="12.75">
      <c r="A109" s="1457"/>
    </row>
    <row r="110" s="50" customFormat="1" ht="12.75">
      <c r="A110" s="1457"/>
    </row>
    <row r="111" s="50" customFormat="1" ht="12.75">
      <c r="A111" s="1457"/>
    </row>
    <row r="112" s="50" customFormat="1" ht="12.75">
      <c r="A112" s="1457"/>
    </row>
    <row r="113" s="50" customFormat="1" ht="12.75">
      <c r="A113" s="1457"/>
    </row>
    <row r="114" s="50" customFormat="1" ht="12.75">
      <c r="A114" s="1457"/>
    </row>
    <row r="115" s="50" customFormat="1" ht="12.75">
      <c r="A115" s="1457"/>
    </row>
    <row r="116" spans="1:13" ht="12.75">
      <c r="A116" s="1458"/>
      <c r="B116" s="8"/>
      <c r="C116" s="8"/>
      <c r="D116" s="8"/>
      <c r="E116" s="8"/>
      <c r="F116" s="8"/>
      <c r="G116" s="8"/>
      <c r="H116" s="50"/>
      <c r="I116" s="57"/>
      <c r="J116" s="57"/>
      <c r="K116" s="57"/>
      <c r="L116" s="58"/>
      <c r="M116" s="66"/>
    </row>
    <row r="117" spans="1:13" ht="12.75">
      <c r="A117" s="1458"/>
      <c r="B117" s="8"/>
      <c r="C117" s="8"/>
      <c r="D117" s="8"/>
      <c r="E117" s="47"/>
      <c r="F117" s="47"/>
      <c r="G117" s="47"/>
      <c r="H117" s="8"/>
      <c r="I117" s="47"/>
      <c r="J117" s="47"/>
      <c r="K117" s="47"/>
      <c r="L117" s="47"/>
      <c r="M117" s="46"/>
    </row>
    <row r="118" spans="2:13" ht="12.75">
      <c r="B118" s="8"/>
      <c r="C118" s="8"/>
      <c r="D118" s="8"/>
      <c r="E118" s="252"/>
      <c r="F118" s="252"/>
      <c r="G118" s="252"/>
      <c r="H118" s="8"/>
      <c r="I118" s="252"/>
      <c r="J118" s="252"/>
      <c r="K118" s="252"/>
      <c r="L118" s="252"/>
      <c r="M118" s="252"/>
    </row>
    <row r="119" spans="2:13" ht="12.75">
      <c r="B119" s="8"/>
      <c r="C119" s="8"/>
      <c r="D119" s="8"/>
      <c r="E119" s="252"/>
      <c r="F119" s="252"/>
      <c r="G119" s="252"/>
      <c r="H119" s="8"/>
      <c r="I119" s="252"/>
      <c r="J119" s="252"/>
      <c r="K119" s="252"/>
      <c r="L119" s="252"/>
      <c r="M119" s="252"/>
    </row>
    <row r="120" spans="2:13" ht="12.75">
      <c r="B120" s="8"/>
      <c r="C120" s="8"/>
      <c r="D120" s="8"/>
      <c r="E120" s="252"/>
      <c r="F120" s="252"/>
      <c r="G120" s="252"/>
      <c r="H120" s="8"/>
      <c r="I120" s="252"/>
      <c r="J120" s="252"/>
      <c r="K120" s="252"/>
      <c r="L120" s="252"/>
      <c r="M120" s="252"/>
    </row>
    <row r="121" spans="2:13" ht="12.75">
      <c r="B121" s="8"/>
      <c r="C121" s="8"/>
      <c r="D121" s="8"/>
      <c r="E121" s="252"/>
      <c r="F121" s="252"/>
      <c r="G121" s="252"/>
      <c r="H121" s="8"/>
      <c r="I121" s="252"/>
      <c r="J121" s="252"/>
      <c r="K121" s="252"/>
      <c r="L121" s="252"/>
      <c r="M121" s="252"/>
    </row>
    <row r="122" spans="2:13" ht="12.75">
      <c r="B122" s="8"/>
      <c r="C122" s="8"/>
      <c r="D122" s="8"/>
      <c r="E122" s="252"/>
      <c r="F122" s="252"/>
      <c r="G122" s="252"/>
      <c r="H122" s="8"/>
      <c r="I122" s="252"/>
      <c r="J122" s="252"/>
      <c r="K122" s="252"/>
      <c r="L122" s="252"/>
      <c r="M122" s="252"/>
    </row>
    <row r="123" spans="2:13" ht="12.75">
      <c r="B123" s="8"/>
      <c r="C123" s="8"/>
      <c r="D123" s="8"/>
      <c r="E123" s="252"/>
      <c r="F123" s="252"/>
      <c r="G123" s="252"/>
      <c r="H123" s="8"/>
      <c r="I123" s="252"/>
      <c r="J123" s="252"/>
      <c r="K123" s="252"/>
      <c r="L123" s="252"/>
      <c r="M123" s="252"/>
    </row>
    <row r="124" spans="2:13" ht="12.75">
      <c r="B124" s="8"/>
      <c r="C124" s="8"/>
      <c r="D124" s="8"/>
      <c r="E124" s="252"/>
      <c r="F124" s="252"/>
      <c r="G124" s="252"/>
      <c r="H124" s="8"/>
      <c r="I124" s="252"/>
      <c r="J124" s="252"/>
      <c r="K124" s="252"/>
      <c r="L124" s="252"/>
      <c r="M124" s="252"/>
    </row>
    <row r="125" spans="2:13" ht="12.75">
      <c r="B125" s="8"/>
      <c r="C125" s="8"/>
      <c r="D125" s="8"/>
      <c r="E125" s="252"/>
      <c r="F125" s="252"/>
      <c r="G125" s="252"/>
      <c r="H125" s="8"/>
      <c r="I125" s="252"/>
      <c r="J125" s="252"/>
      <c r="K125" s="252"/>
      <c r="L125" s="252"/>
      <c r="M125" s="252"/>
    </row>
    <row r="126" spans="2:13" ht="12.75">
      <c r="B126" s="8"/>
      <c r="C126" s="8"/>
      <c r="D126" s="8"/>
      <c r="E126" s="252"/>
      <c r="F126" s="252"/>
      <c r="G126" s="252"/>
      <c r="H126" s="8"/>
      <c r="I126" s="252"/>
      <c r="J126" s="252"/>
      <c r="K126" s="252"/>
      <c r="L126" s="252"/>
      <c r="M126" s="252"/>
    </row>
    <row r="127" spans="2:13" ht="12.75">
      <c r="B127" s="8"/>
      <c r="C127" s="8"/>
      <c r="D127" s="8"/>
      <c r="E127" s="252"/>
      <c r="F127" s="252"/>
      <c r="G127" s="252"/>
      <c r="H127" s="8"/>
      <c r="I127" s="252"/>
      <c r="J127" s="252"/>
      <c r="K127" s="252"/>
      <c r="L127" s="252"/>
      <c r="M127" s="252"/>
    </row>
    <row r="128" spans="2:13" ht="12.75">
      <c r="B128" s="8"/>
      <c r="C128" s="8"/>
      <c r="D128" s="8"/>
      <c r="E128" s="252"/>
      <c r="F128" s="252"/>
      <c r="G128" s="252"/>
      <c r="H128" s="8"/>
      <c r="I128" s="252"/>
      <c r="J128" s="252"/>
      <c r="K128" s="252"/>
      <c r="L128" s="252"/>
      <c r="M128" s="252"/>
    </row>
  </sheetData>
  <sheetProtection/>
  <mergeCells count="51">
    <mergeCell ref="B81:B82"/>
    <mergeCell ref="B83:E83"/>
    <mergeCell ref="B84:E84"/>
    <mergeCell ref="B94:E95"/>
    <mergeCell ref="B69:E69"/>
    <mergeCell ref="B70:C70"/>
    <mergeCell ref="B71:E71"/>
    <mergeCell ref="A73:E73"/>
    <mergeCell ref="A75:E75"/>
    <mergeCell ref="F94:G94"/>
    <mergeCell ref="A77:E77"/>
    <mergeCell ref="A78:A108"/>
    <mergeCell ref="B78:E78"/>
    <mergeCell ref="B79:B80"/>
    <mergeCell ref="A55:E55"/>
    <mergeCell ref="A60:A63"/>
    <mergeCell ref="B63:E63"/>
    <mergeCell ref="A64:A67"/>
    <mergeCell ref="B67:E67"/>
    <mergeCell ref="A68:E68"/>
    <mergeCell ref="A40:E40"/>
    <mergeCell ref="A41:A47"/>
    <mergeCell ref="B47:E47"/>
    <mergeCell ref="A48:A53"/>
    <mergeCell ref="B53:E53"/>
    <mergeCell ref="A54:E54"/>
    <mergeCell ref="B33:C33"/>
    <mergeCell ref="B34:E34"/>
    <mergeCell ref="B35:C35"/>
    <mergeCell ref="B36:E36"/>
    <mergeCell ref="A37:E37"/>
    <mergeCell ref="A38:A39"/>
    <mergeCell ref="B38:E38"/>
    <mergeCell ref="B39:E39"/>
    <mergeCell ref="A19:A36"/>
    <mergeCell ref="B19:C19"/>
    <mergeCell ref="B20:C20"/>
    <mergeCell ref="B21:E21"/>
    <mergeCell ref="B22:C22"/>
    <mergeCell ref="B23:C23"/>
    <mergeCell ref="B25:E25"/>
    <mergeCell ref="B29:E29"/>
    <mergeCell ref="B30:B31"/>
    <mergeCell ref="B32:C32"/>
    <mergeCell ref="A5:G5"/>
    <mergeCell ref="A6:C6"/>
    <mergeCell ref="D6:F6"/>
    <mergeCell ref="A8:A18"/>
    <mergeCell ref="B11:C11"/>
    <mergeCell ref="B17:E17"/>
    <mergeCell ref="B18:E18"/>
  </mergeCells>
  <printOptions/>
  <pageMargins left="0.1968503937007874" right="0.1968503937007874" top="0.984251968503937" bottom="0.984251968503937" header="0.5118110236220472" footer="0.5118110236220472"/>
  <pageSetup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9"/>
  <dimension ref="A1:N88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3.28125" style="13" customWidth="1"/>
    <col min="2" max="2" width="36.00390625" style="13" customWidth="1"/>
    <col min="3" max="4" width="11.7109375" style="53" bestFit="1" customWidth="1"/>
    <col min="5" max="5" width="10.8515625" style="53" customWidth="1"/>
    <col min="6" max="6" width="48.00390625" style="13" customWidth="1"/>
    <col min="7" max="7" width="10.57421875" style="53" customWidth="1"/>
    <col min="8" max="8" width="11.7109375" style="53" bestFit="1" customWidth="1"/>
    <col min="9" max="10" width="11.140625" style="53" customWidth="1"/>
    <col min="11" max="11" width="9.421875" style="53" bestFit="1" customWidth="1"/>
    <col min="12" max="12" width="11.7109375" style="13" bestFit="1" customWidth="1"/>
    <col min="13" max="13" width="11.421875" style="13" customWidth="1"/>
    <col min="14" max="14" width="11.7109375" style="13" bestFit="1" customWidth="1"/>
    <col min="15" max="16384" width="11.421875" style="13" customWidth="1"/>
  </cols>
  <sheetData>
    <row r="1" spans="1:11" ht="12.75">
      <c r="A1" s="784"/>
      <c r="B1" s="730" t="s">
        <v>1277</v>
      </c>
      <c r="C1" s="1528"/>
      <c r="D1" s="1528"/>
      <c r="E1" s="1528"/>
      <c r="F1" s="730" t="s">
        <v>1278</v>
      </c>
      <c r="G1" s="1871">
        <v>30</v>
      </c>
      <c r="H1" s="1871"/>
      <c r="I1" s="52" t="s">
        <v>583</v>
      </c>
      <c r="J1" s="52"/>
      <c r="K1" s="45"/>
    </row>
    <row r="2" spans="1:11" s="50" customFormat="1" ht="12.75">
      <c r="A2" s="1872" t="s">
        <v>1218</v>
      </c>
      <c r="B2" s="1873"/>
      <c r="C2" s="1873"/>
      <c r="D2" s="1873"/>
      <c r="E2" s="1873"/>
      <c r="F2" s="108" t="s">
        <v>1219</v>
      </c>
      <c r="G2" s="109"/>
      <c r="H2" s="109"/>
      <c r="I2" s="109"/>
      <c r="J2" s="109"/>
      <c r="K2" s="110"/>
    </row>
    <row r="3" spans="1:11" s="50" customFormat="1" ht="12.75">
      <c r="A3" s="1865" t="s">
        <v>1166</v>
      </c>
      <c r="B3" s="1866"/>
      <c r="C3" s="54" t="s">
        <v>1068</v>
      </c>
      <c r="D3" s="55" t="s">
        <v>1069</v>
      </c>
      <c r="E3" s="65" t="s">
        <v>1070</v>
      </c>
      <c r="F3" s="502" t="s">
        <v>1167</v>
      </c>
      <c r="G3" s="1874" t="s">
        <v>1068</v>
      </c>
      <c r="H3" s="1875"/>
      <c r="I3" s="1876"/>
      <c r="J3" s="55" t="s">
        <v>1069</v>
      </c>
      <c r="K3" s="65" t="s">
        <v>1070</v>
      </c>
    </row>
    <row r="4" spans="1:11" s="50" customFormat="1" ht="12.75">
      <c r="A4" s="1863"/>
      <c r="B4" s="1864"/>
      <c r="C4" s="56"/>
      <c r="D4" s="58"/>
      <c r="E4" s="66"/>
      <c r="F4" s="4"/>
      <c r="G4" s="112" t="s">
        <v>1184</v>
      </c>
      <c r="H4" s="112" t="s">
        <v>1183</v>
      </c>
      <c r="I4" s="112" t="s">
        <v>1165</v>
      </c>
      <c r="J4" s="58"/>
      <c r="K4" s="66"/>
    </row>
    <row r="5" spans="1:11" s="50" customFormat="1" ht="12.75">
      <c r="A5" s="1779" t="s">
        <v>994</v>
      </c>
      <c r="B5" s="1780"/>
      <c r="C5" s="56">
        <v>0</v>
      </c>
      <c r="D5" s="58"/>
      <c r="E5" s="66"/>
      <c r="F5" s="4"/>
      <c r="G5" s="66"/>
      <c r="H5" s="66"/>
      <c r="I5" s="66">
        <f>SUM(G5:H5)</f>
        <v>0</v>
      </c>
      <c r="J5" s="58"/>
      <c r="K5" s="66"/>
    </row>
    <row r="6" spans="1:11" s="50" customFormat="1" ht="12.75">
      <c r="A6" s="1779" t="s">
        <v>996</v>
      </c>
      <c r="B6" s="1780"/>
      <c r="C6" s="56">
        <v>0</v>
      </c>
      <c r="D6" s="58"/>
      <c r="E6" s="66"/>
      <c r="F6" s="4" t="s">
        <v>995</v>
      </c>
      <c r="G6" s="66"/>
      <c r="H6" s="66"/>
      <c r="I6" s="66">
        <f>SUM(G6:H6)</f>
        <v>0</v>
      </c>
      <c r="J6" s="58"/>
      <c r="K6" s="66"/>
    </row>
    <row r="7" spans="1:11" s="50" customFormat="1" ht="12.75">
      <c r="A7" s="1863"/>
      <c r="B7" s="1864"/>
      <c r="C7" s="56"/>
      <c r="D7" s="58"/>
      <c r="E7" s="66"/>
      <c r="F7" s="4" t="s">
        <v>1164</v>
      </c>
      <c r="G7" s="66">
        <v>9238580</v>
      </c>
      <c r="H7" s="66"/>
      <c r="I7" s="66">
        <f>SUM(G7:H7)</f>
        <v>9238580</v>
      </c>
      <c r="J7" s="58">
        <v>8912420</v>
      </c>
      <c r="K7" s="66"/>
    </row>
    <row r="8" spans="1:11" s="50" customFormat="1" ht="12.75">
      <c r="A8" s="1779" t="s">
        <v>997</v>
      </c>
      <c r="B8" s="1780"/>
      <c r="C8" s="56">
        <v>3753000</v>
      </c>
      <c r="D8" s="58"/>
      <c r="E8" s="66"/>
      <c r="F8" s="4" t="s">
        <v>1169</v>
      </c>
      <c r="G8" s="66"/>
      <c r="H8" s="66"/>
      <c r="I8" s="66">
        <f>SUM(G8:H8)</f>
        <v>0</v>
      </c>
      <c r="J8" s="58"/>
      <c r="K8" s="66"/>
    </row>
    <row r="9" spans="1:14" s="50" customFormat="1" ht="12.75">
      <c r="A9" s="1779" t="s">
        <v>996</v>
      </c>
      <c r="B9" s="1780"/>
      <c r="C9" s="56">
        <v>44640</v>
      </c>
      <c r="D9" s="58"/>
      <c r="E9" s="66"/>
      <c r="F9" s="95" t="s">
        <v>1168</v>
      </c>
      <c r="G9" s="97"/>
      <c r="H9" s="97"/>
      <c r="I9" s="97">
        <f>SUM(I6:I8)</f>
        <v>9238580</v>
      </c>
      <c r="J9" s="96">
        <f>SUM(J6:J8)</f>
        <v>8912420</v>
      </c>
      <c r="K9" s="97"/>
      <c r="L9" s="57"/>
      <c r="N9" s="57"/>
    </row>
    <row r="10" spans="1:11" s="50" customFormat="1" ht="12.75">
      <c r="A10" s="1863"/>
      <c r="B10" s="1864"/>
      <c r="C10" s="56"/>
      <c r="D10" s="58"/>
      <c r="E10" s="66"/>
      <c r="F10" s="4"/>
      <c r="G10" s="66"/>
      <c r="H10" s="66"/>
      <c r="I10" s="66"/>
      <c r="J10" s="58"/>
      <c r="K10" s="66"/>
    </row>
    <row r="11" spans="1:12" s="50" customFormat="1" ht="12.75">
      <c r="A11" s="60" t="s">
        <v>998</v>
      </c>
      <c r="B11" s="61"/>
      <c r="C11" s="56">
        <v>463270</v>
      </c>
      <c r="D11" s="58"/>
      <c r="E11" s="66"/>
      <c r="F11" s="4" t="s">
        <v>1000</v>
      </c>
      <c r="G11" s="66"/>
      <c r="H11" s="66"/>
      <c r="I11" s="66">
        <v>122385</v>
      </c>
      <c r="J11" s="58"/>
      <c r="K11" s="66"/>
      <c r="L11" s="57"/>
    </row>
    <row r="12" spans="1:14" s="50" customFormat="1" ht="12.75">
      <c r="A12" s="1863"/>
      <c r="B12" s="1864"/>
      <c r="C12" s="56"/>
      <c r="D12" s="58"/>
      <c r="E12" s="66"/>
      <c r="F12" s="4" t="s">
        <v>1001</v>
      </c>
      <c r="G12" s="66"/>
      <c r="H12" s="66"/>
      <c r="I12" s="66">
        <v>14300</v>
      </c>
      <c r="J12" s="58"/>
      <c r="K12" s="66"/>
      <c r="L12" s="57"/>
      <c r="M12" s="57"/>
      <c r="N12" s="57"/>
    </row>
    <row r="13" spans="1:14" s="50" customFormat="1" ht="12.75">
      <c r="A13" s="60" t="s">
        <v>999</v>
      </c>
      <c r="B13" s="61"/>
      <c r="C13" s="56">
        <v>305837</v>
      </c>
      <c r="D13" s="58"/>
      <c r="E13" s="66"/>
      <c r="F13" s="4" t="s">
        <v>1002</v>
      </c>
      <c r="G13" s="66"/>
      <c r="H13" s="66"/>
      <c r="I13" s="66"/>
      <c r="J13" s="58"/>
      <c r="K13" s="66"/>
      <c r="L13" s="57"/>
      <c r="M13" s="57"/>
      <c r="N13" s="57"/>
    </row>
    <row r="14" spans="1:14" s="50" customFormat="1" ht="12.75">
      <c r="A14" s="60" t="s">
        <v>1170</v>
      </c>
      <c r="B14" s="61"/>
      <c r="C14" s="56">
        <v>2822650</v>
      </c>
      <c r="D14" s="58"/>
      <c r="E14" s="66"/>
      <c r="F14" s="4" t="s">
        <v>1003</v>
      </c>
      <c r="G14" s="66"/>
      <c r="H14" s="66"/>
      <c r="I14" s="66">
        <v>47500</v>
      </c>
      <c r="J14" s="58"/>
      <c r="K14" s="66"/>
      <c r="L14" s="57"/>
      <c r="N14" s="57"/>
    </row>
    <row r="15" spans="1:14" s="50" customFormat="1" ht="12.75">
      <c r="A15" s="1779" t="s">
        <v>1171</v>
      </c>
      <c r="B15" s="1867"/>
      <c r="C15" s="56">
        <v>1203835</v>
      </c>
      <c r="D15" s="58"/>
      <c r="E15" s="66"/>
      <c r="F15" s="4" t="s">
        <v>1004</v>
      </c>
      <c r="G15" s="66"/>
      <c r="H15" s="66"/>
      <c r="I15" s="66">
        <v>32350</v>
      </c>
      <c r="J15" s="58"/>
      <c r="K15" s="66"/>
      <c r="L15" s="57"/>
      <c r="M15" s="57"/>
      <c r="N15" s="57"/>
    </row>
    <row r="16" spans="1:14" s="50" customFormat="1" ht="12.75">
      <c r="A16" s="1863"/>
      <c r="B16" s="1864"/>
      <c r="C16" s="56"/>
      <c r="D16" s="58"/>
      <c r="E16" s="66"/>
      <c r="F16" s="95" t="s">
        <v>1006</v>
      </c>
      <c r="G16" s="97"/>
      <c r="H16" s="97"/>
      <c r="I16" s="97">
        <f>SUM(I11:I15)</f>
        <v>216535</v>
      </c>
      <c r="J16" s="97">
        <f>SUM(J11:J15)</f>
        <v>0</v>
      </c>
      <c r="K16" s="97"/>
      <c r="L16" s="57"/>
      <c r="N16" s="57"/>
    </row>
    <row r="17" spans="1:12" s="50" customFormat="1" ht="12.75">
      <c r="A17" s="1868" t="s">
        <v>1177</v>
      </c>
      <c r="B17" s="1869"/>
      <c r="C17" s="56"/>
      <c r="D17" s="58"/>
      <c r="E17" s="66"/>
      <c r="F17" s="4"/>
      <c r="G17" s="66"/>
      <c r="H17" s="66"/>
      <c r="I17" s="66"/>
      <c r="J17" s="58"/>
      <c r="K17" s="66"/>
      <c r="L17" s="57"/>
    </row>
    <row r="18" spans="1:14" s="50" customFormat="1" ht="12.75">
      <c r="A18" s="1870" t="s">
        <v>1172</v>
      </c>
      <c r="B18" s="111" t="s">
        <v>1174</v>
      </c>
      <c r="C18" s="56">
        <v>82260</v>
      </c>
      <c r="D18" s="58"/>
      <c r="E18" s="66"/>
      <c r="F18" s="4"/>
      <c r="G18" s="4"/>
      <c r="H18" s="4"/>
      <c r="I18" s="4"/>
      <c r="J18" s="59"/>
      <c r="K18" s="4"/>
      <c r="L18" s="57"/>
      <c r="N18" s="57"/>
    </row>
    <row r="19" spans="1:12" s="50" customFormat="1" ht="12.75">
      <c r="A19" s="1782"/>
      <c r="B19" s="62" t="s">
        <v>1175</v>
      </c>
      <c r="C19" s="56"/>
      <c r="D19" s="58"/>
      <c r="E19" s="66"/>
      <c r="F19" s="4"/>
      <c r="G19" s="4"/>
      <c r="H19" s="4"/>
      <c r="I19" s="4"/>
      <c r="J19" s="59"/>
      <c r="K19" s="4"/>
      <c r="L19" s="57"/>
    </row>
    <row r="20" spans="1:12" s="50" customFormat="1" ht="12.75">
      <c r="A20" s="1870" t="s">
        <v>1173</v>
      </c>
      <c r="B20" s="111" t="s">
        <v>1174</v>
      </c>
      <c r="C20" s="56">
        <v>52500</v>
      </c>
      <c r="D20" s="58"/>
      <c r="E20" s="66"/>
      <c r="F20" s="4"/>
      <c r="G20" s="4"/>
      <c r="H20" s="4"/>
      <c r="I20" s="4"/>
      <c r="J20" s="59"/>
      <c r="K20" s="4"/>
      <c r="L20" s="57"/>
    </row>
    <row r="21" spans="1:11" s="50" customFormat="1" ht="12.75">
      <c r="A21" s="1782"/>
      <c r="B21" s="62" t="s">
        <v>1175</v>
      </c>
      <c r="C21" s="56">
        <v>3000</v>
      </c>
      <c r="D21" s="58"/>
      <c r="E21" s="66"/>
      <c r="F21" s="4"/>
      <c r="G21" s="4"/>
      <c r="H21" s="4"/>
      <c r="I21" s="4"/>
      <c r="J21" s="59"/>
      <c r="K21" s="4"/>
    </row>
    <row r="22" spans="1:11" s="50" customFormat="1" ht="12.75">
      <c r="A22" s="1779" t="s">
        <v>1005</v>
      </c>
      <c r="B22" s="1780"/>
      <c r="C22" s="56">
        <v>44925</v>
      </c>
      <c r="D22" s="58"/>
      <c r="E22" s="66"/>
      <c r="F22" s="4"/>
      <c r="G22" s="4"/>
      <c r="H22" s="4"/>
      <c r="I22" s="4"/>
      <c r="J22" s="59"/>
      <c r="K22" s="4"/>
    </row>
    <row r="23" spans="1:11" s="50" customFormat="1" ht="12.75">
      <c r="A23" s="1863"/>
      <c r="B23" s="1864"/>
      <c r="C23" s="56"/>
      <c r="D23" s="58"/>
      <c r="E23" s="66"/>
      <c r="F23" s="4"/>
      <c r="G23" s="5"/>
      <c r="H23" s="5"/>
      <c r="I23" s="5"/>
      <c r="J23" s="59"/>
      <c r="K23" s="4"/>
    </row>
    <row r="24" spans="1:12" s="50" customFormat="1" ht="12.75">
      <c r="A24" s="1806" t="s">
        <v>1176</v>
      </c>
      <c r="B24" s="1807"/>
      <c r="C24" s="98">
        <f>SUM(C5:C23)</f>
        <v>8775917</v>
      </c>
      <c r="D24" s="98">
        <f>SUM(D5:D23)</f>
        <v>0</v>
      </c>
      <c r="E24" s="100"/>
      <c r="F24" s="101" t="s">
        <v>1245</v>
      </c>
      <c r="G24" s="98"/>
      <c r="H24" s="102"/>
      <c r="I24" s="99">
        <f>I9+I16</f>
        <v>9455115</v>
      </c>
      <c r="J24" s="99">
        <f>J16+J9</f>
        <v>8912420</v>
      </c>
      <c r="K24" s="100"/>
      <c r="L24" s="57"/>
    </row>
    <row r="25" spans="1:11" s="50" customFormat="1" ht="12.75">
      <c r="A25" s="2"/>
      <c r="C25" s="56"/>
      <c r="D25" s="58"/>
      <c r="E25" s="66"/>
      <c r="F25" s="480" t="s">
        <v>1210</v>
      </c>
      <c r="G25" s="481"/>
      <c r="H25" s="433"/>
      <c r="I25" s="482">
        <f>I24-C24</f>
        <v>679198</v>
      </c>
      <c r="J25" s="482"/>
      <c r="K25" s="432"/>
    </row>
    <row r="26" spans="1:11" s="50" customFormat="1" ht="12.75">
      <c r="A26" s="1863"/>
      <c r="B26" s="1864"/>
      <c r="C26" s="56"/>
      <c r="D26" s="58"/>
      <c r="E26" s="66"/>
      <c r="F26" s="4"/>
      <c r="G26" s="2"/>
      <c r="I26" s="59"/>
      <c r="J26" s="59"/>
      <c r="K26" s="4"/>
    </row>
    <row r="27" spans="1:11" s="50" customFormat="1" ht="12.75">
      <c r="A27" s="1858" t="s">
        <v>1074</v>
      </c>
      <c r="B27" s="1859"/>
      <c r="C27" s="98"/>
      <c r="D27" s="99"/>
      <c r="E27" s="100"/>
      <c r="F27" s="103" t="s">
        <v>1007</v>
      </c>
      <c r="G27" s="98"/>
      <c r="H27" s="102"/>
      <c r="I27" s="99"/>
      <c r="J27" s="99"/>
      <c r="K27" s="100"/>
    </row>
    <row r="28" spans="1:11" s="50" customFormat="1" ht="12.75">
      <c r="A28" s="60"/>
      <c r="B28" s="61"/>
      <c r="C28" s="56"/>
      <c r="D28" s="58"/>
      <c r="E28" s="66"/>
      <c r="F28" s="473"/>
      <c r="G28" s="470"/>
      <c r="H28" s="471"/>
      <c r="I28" s="472"/>
      <c r="J28" s="472"/>
      <c r="K28" s="474"/>
    </row>
    <row r="29" spans="1:11" s="50" customFormat="1" ht="12.75">
      <c r="A29" s="1821"/>
      <c r="B29" s="1822"/>
      <c r="C29" s="56"/>
      <c r="D29" s="58"/>
      <c r="E29" s="66"/>
      <c r="F29" s="483" t="s">
        <v>393</v>
      </c>
      <c r="G29" s="484"/>
      <c r="H29" s="485"/>
      <c r="I29" s="434">
        <f>I27-C27</f>
        <v>0</v>
      </c>
      <c r="J29" s="434"/>
      <c r="K29" s="486"/>
    </row>
    <row r="30" spans="1:11" s="50" customFormat="1" ht="12.75">
      <c r="A30" s="468"/>
      <c r="B30" s="469"/>
      <c r="C30" s="56"/>
      <c r="D30" s="58"/>
      <c r="E30" s="66"/>
      <c r="F30" s="4"/>
      <c r="G30" s="56"/>
      <c r="H30" s="57"/>
      <c r="I30" s="58"/>
      <c r="J30" s="58"/>
      <c r="K30" s="66"/>
    </row>
    <row r="31" spans="1:11" s="50" customFormat="1" ht="12.75">
      <c r="A31" s="60" t="s">
        <v>1008</v>
      </c>
      <c r="B31" s="61"/>
      <c r="C31" s="56"/>
      <c r="D31" s="58"/>
      <c r="E31" s="66"/>
      <c r="F31" s="4" t="s">
        <v>1009</v>
      </c>
      <c r="G31" s="1851"/>
      <c r="H31" s="1852"/>
      <c r="I31" s="58"/>
      <c r="J31" s="58"/>
      <c r="K31" s="66"/>
    </row>
    <row r="32" spans="1:11" s="50" customFormat="1" ht="12.75">
      <c r="A32" s="60" t="s">
        <v>1010</v>
      </c>
      <c r="B32" s="61"/>
      <c r="C32" s="56">
        <v>1800</v>
      </c>
      <c r="D32" s="58"/>
      <c r="E32" s="66"/>
      <c r="F32" s="4" t="s">
        <v>1011</v>
      </c>
      <c r="G32" s="1851"/>
      <c r="H32" s="1852"/>
      <c r="I32" s="58">
        <v>3800</v>
      </c>
      <c r="J32" s="58"/>
      <c r="K32" s="66"/>
    </row>
    <row r="33" spans="1:11" s="50" customFormat="1" ht="12.75">
      <c r="A33" s="60" t="s">
        <v>1012</v>
      </c>
      <c r="B33" s="61"/>
      <c r="C33" s="56">
        <v>315070</v>
      </c>
      <c r="D33" s="58"/>
      <c r="E33" s="66"/>
      <c r="F33" s="4" t="s">
        <v>1013</v>
      </c>
      <c r="G33" s="1851"/>
      <c r="H33" s="1852"/>
      <c r="I33" s="58">
        <v>3500</v>
      </c>
      <c r="J33" s="58"/>
      <c r="K33" s="66"/>
    </row>
    <row r="34" spans="1:11" s="50" customFormat="1" ht="12.75">
      <c r="A34" s="60" t="s">
        <v>748</v>
      </c>
      <c r="B34" s="61"/>
      <c r="C34" s="56"/>
      <c r="D34" s="58"/>
      <c r="E34" s="66"/>
      <c r="F34" s="4" t="s">
        <v>1014</v>
      </c>
      <c r="G34" s="1851"/>
      <c r="H34" s="1852"/>
      <c r="I34" s="58">
        <v>3620</v>
      </c>
      <c r="J34" s="58"/>
      <c r="K34" s="66"/>
    </row>
    <row r="35" spans="1:11" s="50" customFormat="1" ht="12.75">
      <c r="A35" s="2" t="s">
        <v>749</v>
      </c>
      <c r="C35" s="56"/>
      <c r="D35" s="58"/>
      <c r="E35" s="66"/>
      <c r="F35" s="4" t="s">
        <v>1015</v>
      </c>
      <c r="G35" s="1851"/>
      <c r="H35" s="1852"/>
      <c r="I35" s="58"/>
      <c r="J35" s="58"/>
      <c r="K35" s="66"/>
    </row>
    <row r="36" spans="1:11" s="50" customFormat="1" ht="12.75">
      <c r="A36" s="2" t="s">
        <v>750</v>
      </c>
      <c r="C36" s="56"/>
      <c r="D36" s="58"/>
      <c r="E36" s="66"/>
      <c r="F36" s="4" t="s">
        <v>1016</v>
      </c>
      <c r="G36" s="1851"/>
      <c r="H36" s="1852"/>
      <c r="I36" s="58"/>
      <c r="J36" s="58"/>
      <c r="K36" s="66"/>
    </row>
    <row r="37" spans="1:11" s="50" customFormat="1" ht="12.75">
      <c r="A37" s="2"/>
      <c r="C37" s="56"/>
      <c r="D37" s="58"/>
      <c r="E37" s="66"/>
      <c r="F37" s="4" t="s">
        <v>1017</v>
      </c>
      <c r="G37" s="1851"/>
      <c r="H37" s="1852"/>
      <c r="I37" s="58">
        <v>4800</v>
      </c>
      <c r="J37" s="58"/>
      <c r="K37" s="66"/>
    </row>
    <row r="38" spans="1:11" s="50" customFormat="1" ht="12.75">
      <c r="A38" s="1806" t="s">
        <v>1212</v>
      </c>
      <c r="B38" s="1807"/>
      <c r="C38" s="98">
        <f>SUM(C32:C37)</f>
        <v>316870</v>
      </c>
      <c r="D38" s="99"/>
      <c r="E38" s="100"/>
      <c r="F38" s="101" t="s">
        <v>1213</v>
      </c>
      <c r="G38" s="98"/>
      <c r="H38" s="102"/>
      <c r="I38" s="99">
        <f>SUM(I32:I37)</f>
        <v>15720</v>
      </c>
      <c r="J38" s="99">
        <f>SUM(J32:J37)</f>
        <v>0</v>
      </c>
      <c r="K38" s="99">
        <f>SUM(K32:K37)</f>
        <v>0</v>
      </c>
    </row>
    <row r="39" spans="1:11" s="50" customFormat="1" ht="12.75">
      <c r="A39" s="487"/>
      <c r="B39" s="488"/>
      <c r="C39" s="489"/>
      <c r="D39" s="472"/>
      <c r="E39" s="474"/>
      <c r="F39" s="359" t="s">
        <v>144</v>
      </c>
      <c r="G39" s="484"/>
      <c r="H39" s="485"/>
      <c r="I39" s="434">
        <f>I38-C38</f>
        <v>-301150</v>
      </c>
      <c r="J39" s="486"/>
      <c r="K39" s="434"/>
    </row>
    <row r="40" spans="1:11" s="50" customFormat="1" ht="12.75">
      <c r="A40" s="468"/>
      <c r="B40" s="469"/>
      <c r="C40" s="475"/>
      <c r="D40" s="58"/>
      <c r="E40" s="66"/>
      <c r="F40" s="476"/>
      <c r="G40" s="492"/>
      <c r="H40" s="477"/>
      <c r="I40" s="478"/>
      <c r="J40" s="474"/>
      <c r="K40" s="478"/>
    </row>
    <row r="41" spans="1:11" s="50" customFormat="1" ht="12.75">
      <c r="A41" s="2"/>
      <c r="B41" s="61"/>
      <c r="C41" s="56"/>
      <c r="D41" s="58"/>
      <c r="E41" s="66"/>
      <c r="F41" s="359" t="s">
        <v>392</v>
      </c>
      <c r="G41" s="493"/>
      <c r="H41" s="490"/>
      <c r="I41" s="491">
        <f>I39+I25+I29</f>
        <v>378048</v>
      </c>
      <c r="J41" s="486"/>
      <c r="K41" s="491"/>
    </row>
    <row r="42" spans="1:11" s="50" customFormat="1" ht="12.75">
      <c r="A42" s="2"/>
      <c r="C42" s="56"/>
      <c r="D42" s="58"/>
      <c r="E42" s="66"/>
      <c r="F42" s="479"/>
      <c r="G42" s="2"/>
      <c r="I42" s="58"/>
      <c r="J42" s="66"/>
      <c r="K42" s="58"/>
    </row>
    <row r="43" spans="1:11" s="50" customFormat="1" ht="12.75">
      <c r="A43" s="60" t="s">
        <v>1018</v>
      </c>
      <c r="B43" s="61"/>
      <c r="C43" s="56"/>
      <c r="D43" s="58"/>
      <c r="E43" s="66"/>
      <c r="F43" s="4" t="s">
        <v>1019</v>
      </c>
      <c r="G43" s="56"/>
      <c r="H43" s="57"/>
      <c r="I43" s="58"/>
      <c r="J43" s="66"/>
      <c r="K43" s="58"/>
    </row>
    <row r="44" spans="1:11" s="50" customFormat="1" ht="12.75">
      <c r="A44" s="60" t="s">
        <v>1020</v>
      </c>
      <c r="B44" s="61"/>
      <c r="C44" s="56">
        <v>1032</v>
      </c>
      <c r="D44" s="58"/>
      <c r="E44" s="66"/>
      <c r="F44" s="4" t="s">
        <v>1021</v>
      </c>
      <c r="G44" s="56"/>
      <c r="H44" s="57"/>
      <c r="I44" s="59">
        <v>657</v>
      </c>
      <c r="J44" s="66"/>
      <c r="K44" s="58"/>
    </row>
    <row r="45" spans="1:11" s="50" customFormat="1" ht="12.75">
      <c r="A45" s="60" t="s">
        <v>1022</v>
      </c>
      <c r="B45" s="61"/>
      <c r="C45" s="56">
        <v>127130</v>
      </c>
      <c r="D45" s="58"/>
      <c r="E45" s="66"/>
      <c r="F45" s="4" t="s">
        <v>1023</v>
      </c>
      <c r="G45" s="56"/>
      <c r="H45" s="57"/>
      <c r="I45" s="58">
        <v>203805</v>
      </c>
      <c r="J45" s="66"/>
      <c r="K45" s="58"/>
    </row>
    <row r="46" spans="1:11" s="50" customFormat="1" ht="12.75">
      <c r="A46" s="60" t="s">
        <v>1024</v>
      </c>
      <c r="B46" s="61"/>
      <c r="C46" s="56">
        <v>8080</v>
      </c>
      <c r="D46" s="58"/>
      <c r="E46" s="66"/>
      <c r="F46" s="4" t="s">
        <v>1015</v>
      </c>
      <c r="G46" s="492"/>
      <c r="H46" s="477"/>
      <c r="I46" s="478">
        <v>10760</v>
      </c>
      <c r="J46" s="494"/>
      <c r="K46" s="58"/>
    </row>
    <row r="47" spans="1:11" s="50" customFormat="1" ht="12.75">
      <c r="A47" s="1806" t="s">
        <v>1211</v>
      </c>
      <c r="B47" s="1807"/>
      <c r="C47" s="98">
        <f>SUM(C43:C46)</f>
        <v>136242</v>
      </c>
      <c r="D47" s="98">
        <f>SUM(D43:D46)</f>
        <v>0</v>
      </c>
      <c r="E47" s="100"/>
      <c r="F47" s="101" t="s">
        <v>1214</v>
      </c>
      <c r="G47" s="98"/>
      <c r="H47" s="102"/>
      <c r="I47" s="99">
        <f>SUM(I44:I46)</f>
        <v>215222</v>
      </c>
      <c r="J47" s="102">
        <f>SUM(J43:J46)</f>
        <v>0</v>
      </c>
      <c r="K47" s="100"/>
    </row>
    <row r="48" spans="1:11" ht="12.75">
      <c r="A48" s="2"/>
      <c r="B48" s="50"/>
      <c r="C48" s="48"/>
      <c r="D48" s="46"/>
      <c r="E48" s="67"/>
      <c r="F48" s="4"/>
      <c r="G48" s="56"/>
      <c r="H48" s="57"/>
      <c r="I48" s="8"/>
      <c r="J48" s="58"/>
      <c r="K48" s="66"/>
    </row>
    <row r="49" spans="1:11" ht="12.75">
      <c r="A49" s="1858" t="s">
        <v>1217</v>
      </c>
      <c r="B49" s="1859"/>
      <c r="C49" s="247">
        <v>62899</v>
      </c>
      <c r="D49" s="248"/>
      <c r="E49" s="249"/>
      <c r="F49" s="476" t="s">
        <v>394</v>
      </c>
      <c r="G49" s="484"/>
      <c r="H49" s="499"/>
      <c r="I49" s="434">
        <f>I47-C47</f>
        <v>78980</v>
      </c>
      <c r="J49" s="434"/>
      <c r="K49" s="486"/>
    </row>
    <row r="50" spans="1:11" ht="12.75">
      <c r="A50" s="1821"/>
      <c r="B50" s="1822"/>
      <c r="C50" s="63"/>
      <c r="D50" s="64"/>
      <c r="E50" s="68"/>
      <c r="F50" s="4"/>
      <c r="G50" s="56"/>
      <c r="H50" s="57"/>
      <c r="I50" s="58"/>
      <c r="J50" s="58"/>
      <c r="K50" s="66"/>
    </row>
    <row r="51" spans="1:11" ht="12.75">
      <c r="A51" s="1858" t="s">
        <v>1216</v>
      </c>
      <c r="B51" s="1859"/>
      <c r="C51" s="247">
        <v>148473</v>
      </c>
      <c r="D51" s="248"/>
      <c r="E51" s="249"/>
      <c r="F51" s="4"/>
      <c r="G51" s="56"/>
      <c r="H51" s="57"/>
      <c r="I51" s="58"/>
      <c r="J51" s="58"/>
      <c r="K51" s="66"/>
    </row>
    <row r="52" spans="1:11" ht="12.75">
      <c r="A52" s="1821"/>
      <c r="B52" s="1822"/>
      <c r="C52" s="63"/>
      <c r="D52" s="64"/>
      <c r="E52" s="68"/>
      <c r="F52" s="4"/>
      <c r="G52" s="56"/>
      <c r="H52" s="57"/>
      <c r="I52" s="58"/>
      <c r="J52" s="58"/>
      <c r="K52" s="66"/>
    </row>
    <row r="53" spans="1:11" ht="12.75">
      <c r="A53" s="1806" t="s">
        <v>1025</v>
      </c>
      <c r="B53" s="1807"/>
      <c r="C53" s="104">
        <f>C51+C49+C38+C27+C24</f>
        <v>9304159</v>
      </c>
      <c r="D53" s="105"/>
      <c r="E53" s="106"/>
      <c r="F53" s="101" t="s">
        <v>1026</v>
      </c>
      <c r="G53" s="98"/>
      <c r="H53" s="102"/>
      <c r="I53" s="99">
        <f>I47+I38+I27+I24</f>
        <v>9686057</v>
      </c>
      <c r="J53" s="99"/>
      <c r="K53" s="100"/>
    </row>
    <row r="54" spans="1:11" ht="12.75">
      <c r="A54" s="2"/>
      <c r="B54" s="50"/>
      <c r="C54" s="48"/>
      <c r="D54" s="46"/>
      <c r="E54" s="67"/>
      <c r="F54" s="4"/>
      <c r="G54" s="56"/>
      <c r="H54" s="57"/>
      <c r="I54" s="58"/>
      <c r="J54" s="58"/>
      <c r="K54" s="66"/>
    </row>
    <row r="55" spans="1:11" ht="12.75">
      <c r="A55" s="495" t="s">
        <v>1027</v>
      </c>
      <c r="B55" s="496"/>
      <c r="C55" s="484">
        <f>IF(($I$53-$C$53)&lt;0,$I$53-$C$53,0)</f>
        <v>0</v>
      </c>
      <c r="D55" s="497"/>
      <c r="E55" s="498"/>
      <c r="F55" s="483" t="s">
        <v>1028</v>
      </c>
      <c r="G55" s="484"/>
      <c r="H55" s="485"/>
      <c r="I55" s="434">
        <f>I53-C53</f>
        <v>381898</v>
      </c>
      <c r="J55" s="434"/>
      <c r="K55" s="486"/>
    </row>
    <row r="56" spans="1:11" ht="12.75">
      <c r="A56" s="2"/>
      <c r="B56" s="50"/>
      <c r="C56" s="48"/>
      <c r="D56" s="46"/>
      <c r="E56" s="67"/>
      <c r="F56" s="4"/>
      <c r="G56" s="48"/>
      <c r="H56" s="47"/>
      <c r="I56" s="46"/>
      <c r="J56" s="46"/>
      <c r="K56" s="67"/>
    </row>
    <row r="57" spans="1:11" ht="12.75">
      <c r="A57" s="2"/>
      <c r="B57" s="8"/>
      <c r="C57" s="48"/>
      <c r="D57" s="46"/>
      <c r="E57" s="67"/>
      <c r="F57" s="4"/>
      <c r="G57" s="48"/>
      <c r="H57" s="47"/>
      <c r="I57" s="46"/>
      <c r="J57" s="46"/>
      <c r="K57" s="67"/>
    </row>
    <row r="58" spans="1:11" ht="12.75">
      <c r="A58" s="1806" t="s">
        <v>1029</v>
      </c>
      <c r="B58" s="1857"/>
      <c r="C58" s="104">
        <f>C53+I55</f>
        <v>9686057</v>
      </c>
      <c r="D58" s="105"/>
      <c r="E58" s="106"/>
      <c r="F58" s="103" t="s">
        <v>1030</v>
      </c>
      <c r="G58" s="104"/>
      <c r="H58" s="107"/>
      <c r="I58" s="105">
        <f>I53+C55</f>
        <v>9686057</v>
      </c>
      <c r="J58" s="105"/>
      <c r="K58" s="106"/>
    </row>
    <row r="59" spans="1:11" ht="12.75">
      <c r="A59" s="29"/>
      <c r="B59" s="8"/>
      <c r="C59" s="47"/>
      <c r="D59" s="47"/>
      <c r="E59" s="47"/>
      <c r="F59" s="8"/>
      <c r="G59" s="47"/>
      <c r="H59" s="47"/>
      <c r="I59" s="47"/>
      <c r="J59" s="47"/>
      <c r="K59" s="46"/>
    </row>
    <row r="60" spans="1:11" ht="12.75">
      <c r="A60" s="1860" t="s">
        <v>412</v>
      </c>
      <c r="B60" s="1861"/>
      <c r="C60" s="1861"/>
      <c r="D60" s="1861"/>
      <c r="E60" s="1862"/>
      <c r="F60" s="1861" t="s">
        <v>413</v>
      </c>
      <c r="G60" s="1861"/>
      <c r="H60" s="1861"/>
      <c r="I60" s="1861"/>
      <c r="J60" s="1861"/>
      <c r="K60" s="1862"/>
    </row>
    <row r="61" spans="1:11" s="17" customFormat="1" ht="12.75">
      <c r="A61" s="37"/>
      <c r="B61" s="516"/>
      <c r="C61" s="258"/>
      <c r="D61" s="250"/>
      <c r="E61" s="251"/>
      <c r="F61" s="131"/>
      <c r="G61" s="250"/>
      <c r="H61" s="250"/>
      <c r="I61" s="250"/>
      <c r="J61" s="250"/>
      <c r="K61" s="251"/>
    </row>
    <row r="62" spans="1:11" ht="12.75">
      <c r="A62" s="29"/>
      <c r="B62" s="8"/>
      <c r="C62" s="259"/>
      <c r="D62" s="252"/>
      <c r="E62" s="253"/>
      <c r="F62" s="14" t="s">
        <v>1242</v>
      </c>
      <c r="G62" s="252"/>
      <c r="H62" s="252"/>
      <c r="I62" s="252"/>
      <c r="J62" s="252"/>
      <c r="K62" s="253"/>
    </row>
    <row r="63" spans="1:11" ht="12.75">
      <c r="A63" s="1853" t="s">
        <v>1239</v>
      </c>
      <c r="B63" s="51" t="s">
        <v>1240</v>
      </c>
      <c r="C63" s="259">
        <v>10000</v>
      </c>
      <c r="D63" s="252"/>
      <c r="E63" s="253"/>
      <c r="F63" s="130" t="s">
        <v>1243</v>
      </c>
      <c r="G63" s="252"/>
      <c r="H63" s="252"/>
      <c r="I63" s="252"/>
      <c r="J63" s="252"/>
      <c r="K63" s="253"/>
    </row>
    <row r="64" spans="1:11" ht="12.75">
      <c r="A64" s="1854"/>
      <c r="B64" s="355" t="s">
        <v>1241</v>
      </c>
      <c r="C64" s="259"/>
      <c r="D64" s="252"/>
      <c r="E64" s="253"/>
      <c r="F64" s="24"/>
      <c r="G64" s="252"/>
      <c r="H64" s="252"/>
      <c r="I64" s="252"/>
      <c r="J64" s="252"/>
      <c r="K64" s="253"/>
    </row>
    <row r="65" spans="1:11" ht="12.75">
      <c r="A65" s="29" t="s">
        <v>1238</v>
      </c>
      <c r="B65" s="8"/>
      <c r="C65" s="259"/>
      <c r="D65" s="252"/>
      <c r="E65" s="253"/>
      <c r="F65" s="132" t="s">
        <v>1244</v>
      </c>
      <c r="G65" s="252"/>
      <c r="H65" s="252"/>
      <c r="I65" s="252"/>
      <c r="J65" s="252"/>
      <c r="K65" s="253"/>
    </row>
    <row r="66" spans="1:11" ht="12.75">
      <c r="A66" s="29" t="s">
        <v>582</v>
      </c>
      <c r="B66" s="8"/>
      <c r="C66" s="259"/>
      <c r="D66" s="252"/>
      <c r="E66" s="253"/>
      <c r="F66" s="14" t="s">
        <v>1246</v>
      </c>
      <c r="G66" s="252"/>
      <c r="H66" s="252"/>
      <c r="I66" s="252"/>
      <c r="J66" s="252"/>
      <c r="K66" s="253"/>
    </row>
    <row r="67" spans="1:11" ht="12.75">
      <c r="A67" s="1855" t="s">
        <v>1247</v>
      </c>
      <c r="B67" s="1856"/>
      <c r="C67" s="517"/>
      <c r="D67" s="254"/>
      <c r="E67" s="255"/>
      <c r="F67" s="33" t="s">
        <v>1248</v>
      </c>
      <c r="G67" s="252"/>
      <c r="H67" s="252"/>
      <c r="I67" s="252"/>
      <c r="J67" s="252"/>
      <c r="K67" s="253"/>
    </row>
    <row r="68" spans="1:11" ht="12.75">
      <c r="A68" s="29" t="s">
        <v>411</v>
      </c>
      <c r="B68" s="8"/>
      <c r="C68" s="259">
        <v>127130</v>
      </c>
      <c r="D68" s="252"/>
      <c r="E68" s="253"/>
      <c r="F68" s="14" t="s">
        <v>1249</v>
      </c>
      <c r="G68" s="252"/>
      <c r="H68" s="252"/>
      <c r="I68" s="252">
        <v>186930</v>
      </c>
      <c r="J68" s="47"/>
      <c r="K68" s="253"/>
    </row>
    <row r="69" spans="1:11" ht="12.75">
      <c r="A69" s="29"/>
      <c r="B69" s="8"/>
      <c r="C69" s="259"/>
      <c r="D69" s="252"/>
      <c r="E69" s="253"/>
      <c r="F69" s="14" t="s">
        <v>395</v>
      </c>
      <c r="G69" s="252"/>
      <c r="H69" s="252"/>
      <c r="I69" s="252">
        <v>657</v>
      </c>
      <c r="J69" s="47"/>
      <c r="K69" s="253"/>
    </row>
    <row r="70" spans="1:11" ht="12.75">
      <c r="A70" s="29"/>
      <c r="B70" s="8"/>
      <c r="C70" s="259"/>
      <c r="D70" s="252"/>
      <c r="E70" s="253"/>
      <c r="F70" s="14" t="s">
        <v>400</v>
      </c>
      <c r="G70" s="252"/>
      <c r="H70" s="252"/>
      <c r="I70" s="252">
        <v>16875</v>
      </c>
      <c r="J70" s="47"/>
      <c r="K70" s="253"/>
    </row>
    <row r="71" spans="1:11" ht="12.75">
      <c r="A71" s="14" t="s">
        <v>398</v>
      </c>
      <c r="B71" s="8"/>
      <c r="C71" s="259">
        <v>5520</v>
      </c>
      <c r="D71" s="252"/>
      <c r="E71" s="253"/>
      <c r="F71" s="14" t="s">
        <v>396</v>
      </c>
      <c r="G71" s="252"/>
      <c r="H71" s="252"/>
      <c r="I71" s="252">
        <v>6600</v>
      </c>
      <c r="J71" s="47"/>
      <c r="K71" s="253"/>
    </row>
    <row r="72" spans="1:11" ht="12.75">
      <c r="A72" s="14" t="s">
        <v>397</v>
      </c>
      <c r="B72" s="259"/>
      <c r="C72" s="259">
        <v>1032</v>
      </c>
      <c r="D72" s="252"/>
      <c r="E72" s="253"/>
      <c r="F72" s="14" t="s">
        <v>397</v>
      </c>
      <c r="G72" s="47"/>
      <c r="H72" s="47"/>
      <c r="I72" s="252">
        <v>4160</v>
      </c>
      <c r="J72" s="47"/>
      <c r="K72" s="253"/>
    </row>
    <row r="73" spans="1:11" ht="12.75">
      <c r="A73" s="29" t="s">
        <v>399</v>
      </c>
      <c r="B73" s="252"/>
      <c r="C73" s="259">
        <v>2560</v>
      </c>
      <c r="D73" s="252"/>
      <c r="E73" s="253"/>
      <c r="F73" s="14"/>
      <c r="G73" s="47"/>
      <c r="H73" s="47"/>
      <c r="I73" s="252"/>
      <c r="J73" s="252"/>
      <c r="K73" s="253"/>
    </row>
    <row r="74" spans="1:11" ht="12.75">
      <c r="A74" s="29"/>
      <c r="B74" s="252"/>
      <c r="C74" s="48"/>
      <c r="D74" s="252"/>
      <c r="E74" s="253"/>
      <c r="F74" s="14"/>
      <c r="G74" s="47"/>
      <c r="H74" s="47"/>
      <c r="I74" s="252"/>
      <c r="J74" s="252"/>
      <c r="K74" s="253"/>
    </row>
    <row r="75" spans="1:11" ht="12.75">
      <c r="A75" s="29"/>
      <c r="B75" s="8"/>
      <c r="C75" s="48"/>
      <c r="D75" s="252"/>
      <c r="E75" s="253"/>
      <c r="F75" s="14"/>
      <c r="G75" s="47"/>
      <c r="H75" s="47"/>
      <c r="I75" s="252"/>
      <c r="J75" s="252"/>
      <c r="K75" s="253"/>
    </row>
    <row r="76" spans="1:11" ht="12.75">
      <c r="A76" s="29"/>
      <c r="B76" s="8"/>
      <c r="C76" s="259"/>
      <c r="D76" s="252"/>
      <c r="E76" s="253"/>
      <c r="F76" s="14"/>
      <c r="G76" s="252"/>
      <c r="H76" s="252"/>
      <c r="I76" s="252"/>
      <c r="J76" s="252"/>
      <c r="K76" s="253"/>
    </row>
    <row r="77" spans="1:11" ht="12.75">
      <c r="A77" s="30"/>
      <c r="B77" s="155"/>
      <c r="C77" s="260"/>
      <c r="D77" s="256"/>
      <c r="E77" s="257"/>
      <c r="F77" s="24"/>
      <c r="G77" s="256"/>
      <c r="H77" s="256"/>
      <c r="I77" s="256"/>
      <c r="J77" s="256"/>
      <c r="K77" s="257"/>
    </row>
    <row r="78" spans="1:11" ht="12.75">
      <c r="A78" s="8"/>
      <c r="B78" s="8"/>
      <c r="C78" s="252"/>
      <c r="D78" s="252"/>
      <c r="E78" s="252"/>
      <c r="F78" s="8"/>
      <c r="G78" s="252"/>
      <c r="H78" s="252"/>
      <c r="I78" s="252"/>
      <c r="J78" s="252"/>
      <c r="K78" s="252"/>
    </row>
    <row r="79" spans="1:11" ht="12.75">
      <c r="A79" s="8"/>
      <c r="B79" s="8"/>
      <c r="C79" s="252"/>
      <c r="D79" s="252"/>
      <c r="E79" s="252"/>
      <c r="F79" s="8"/>
      <c r="G79" s="252"/>
      <c r="H79" s="252"/>
      <c r="I79" s="252"/>
      <c r="J79" s="252"/>
      <c r="K79" s="252"/>
    </row>
    <row r="80" spans="1:11" ht="12.75">
      <c r="A80" s="8"/>
      <c r="B80" s="8"/>
      <c r="C80" s="252"/>
      <c r="D80" s="252"/>
      <c r="E80" s="252"/>
      <c r="F80" s="8"/>
      <c r="G80" s="252"/>
      <c r="H80" s="252"/>
      <c r="I80" s="252"/>
      <c r="J80" s="252"/>
      <c r="K80" s="252"/>
    </row>
    <row r="81" spans="1:11" ht="12.75">
      <c r="A81" s="8"/>
      <c r="B81" s="8"/>
      <c r="C81" s="252"/>
      <c r="D81" s="252"/>
      <c r="E81" s="252"/>
      <c r="F81" s="8"/>
      <c r="G81" s="252"/>
      <c r="H81" s="252"/>
      <c r="I81" s="252"/>
      <c r="J81" s="252"/>
      <c r="K81" s="252"/>
    </row>
    <row r="82" spans="1:11" ht="12.75">
      <c r="A82" s="8"/>
      <c r="B82" s="8"/>
      <c r="C82" s="252"/>
      <c r="D82" s="252"/>
      <c r="E82" s="252"/>
      <c r="F82" s="8"/>
      <c r="G82" s="252"/>
      <c r="H82" s="252"/>
      <c r="I82" s="252"/>
      <c r="J82" s="252"/>
      <c r="K82" s="252"/>
    </row>
    <row r="83" spans="1:11" ht="12.75">
      <c r="A83" s="8"/>
      <c r="B83" s="8"/>
      <c r="C83" s="252"/>
      <c r="D83" s="252"/>
      <c r="E83" s="252"/>
      <c r="F83" s="8"/>
      <c r="G83" s="252"/>
      <c r="H83" s="252"/>
      <c r="I83" s="252"/>
      <c r="J83" s="252"/>
      <c r="K83" s="252"/>
    </row>
    <row r="84" spans="1:11" ht="12.75">
      <c r="A84" s="8"/>
      <c r="B84" s="8"/>
      <c r="C84" s="252"/>
      <c r="D84" s="252"/>
      <c r="E84" s="252"/>
      <c r="F84" s="8"/>
      <c r="G84" s="252"/>
      <c r="H84" s="252"/>
      <c r="I84" s="252"/>
      <c r="J84" s="252"/>
      <c r="K84" s="252"/>
    </row>
    <row r="85" spans="1:11" ht="12.75">
      <c r="A85" s="8"/>
      <c r="B85" s="8"/>
      <c r="C85" s="252"/>
      <c r="D85" s="252"/>
      <c r="E85" s="252"/>
      <c r="F85" s="8"/>
      <c r="G85" s="252"/>
      <c r="H85" s="252"/>
      <c r="I85" s="252"/>
      <c r="J85" s="252"/>
      <c r="K85" s="252"/>
    </row>
    <row r="86" spans="1:11" ht="12.75">
      <c r="A86" s="8"/>
      <c r="B86" s="8"/>
      <c r="C86" s="252"/>
      <c r="D86" s="252"/>
      <c r="E86" s="252"/>
      <c r="F86" s="8"/>
      <c r="G86" s="252"/>
      <c r="H86" s="252"/>
      <c r="I86" s="252"/>
      <c r="J86" s="252"/>
      <c r="K86" s="252"/>
    </row>
    <row r="87" spans="1:11" ht="12.75">
      <c r="A87" s="8"/>
      <c r="B87" s="8"/>
      <c r="C87" s="252"/>
      <c r="D87" s="252"/>
      <c r="E87" s="252"/>
      <c r="F87" s="8"/>
      <c r="G87" s="252"/>
      <c r="H87" s="252"/>
      <c r="I87" s="252"/>
      <c r="J87" s="252"/>
      <c r="K87" s="252"/>
    </row>
    <row r="88" spans="1:11" ht="12.75">
      <c r="A88" s="8"/>
      <c r="B88" s="8"/>
      <c r="C88" s="252"/>
      <c r="D88" s="252"/>
      <c r="E88" s="252"/>
      <c r="F88" s="8"/>
      <c r="G88" s="252"/>
      <c r="H88" s="252"/>
      <c r="I88" s="252"/>
      <c r="J88" s="252"/>
      <c r="K88" s="252"/>
    </row>
  </sheetData>
  <sheetProtection/>
  <mergeCells count="43">
    <mergeCell ref="G1:H1"/>
    <mergeCell ref="C1:E1"/>
    <mergeCell ref="A9:B9"/>
    <mergeCell ref="A7:B7"/>
    <mergeCell ref="A4:B4"/>
    <mergeCell ref="A5:B5"/>
    <mergeCell ref="A6:B6"/>
    <mergeCell ref="A8:B8"/>
    <mergeCell ref="A2:E2"/>
    <mergeCell ref="G3:I3"/>
    <mergeCell ref="F60:K60"/>
    <mergeCell ref="A27:B27"/>
    <mergeCell ref="A29:B29"/>
    <mergeCell ref="A16:B16"/>
    <mergeCell ref="A17:B17"/>
    <mergeCell ref="A22:B22"/>
    <mergeCell ref="A50:B50"/>
    <mergeCell ref="A18:A19"/>
    <mergeCell ref="A20:A21"/>
    <mergeCell ref="A24:B24"/>
    <mergeCell ref="A38:B38"/>
    <mergeCell ref="A51:B51"/>
    <mergeCell ref="A12:B12"/>
    <mergeCell ref="A3:B3"/>
    <mergeCell ref="A26:B26"/>
    <mergeCell ref="A23:B23"/>
    <mergeCell ref="A47:B47"/>
    <mergeCell ref="A10:B10"/>
    <mergeCell ref="A15:B15"/>
    <mergeCell ref="A63:A64"/>
    <mergeCell ref="A67:B67"/>
    <mergeCell ref="A58:B58"/>
    <mergeCell ref="A49:B49"/>
    <mergeCell ref="A52:B52"/>
    <mergeCell ref="A53:B53"/>
    <mergeCell ref="A60:E60"/>
    <mergeCell ref="G35:H35"/>
    <mergeCell ref="G36:H36"/>
    <mergeCell ref="G37:H37"/>
    <mergeCell ref="G31:H31"/>
    <mergeCell ref="G32:H32"/>
    <mergeCell ref="G33:H33"/>
    <mergeCell ref="G34:H34"/>
  </mergeCells>
  <printOptions/>
  <pageMargins left="0.1968503937007874" right="0.1968503937007874" top="0.7874015748031497" bottom="0.7874015748031497" header="0.5118110236220472" footer="0.5118110236220472"/>
  <pageSetup orientation="portrait" pageOrder="overThenDown" paperSize="9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0"/>
  <dimension ref="A1:M143"/>
  <sheetViews>
    <sheetView showZeros="0" zoomScalePageLayoutView="0" workbookViewId="0" topLeftCell="A1">
      <selection activeCell="F2" sqref="F2:L2"/>
    </sheetView>
  </sheetViews>
  <sheetFormatPr defaultColWidth="11.421875" defaultRowHeight="12.75"/>
  <cols>
    <col min="1" max="1" width="40.28125" style="13" customWidth="1"/>
    <col min="2" max="2" width="12.421875" style="13" customWidth="1"/>
    <col min="3" max="3" width="10.8515625" style="13" customWidth="1"/>
    <col min="4" max="4" width="12.140625" style="13" customWidth="1"/>
    <col min="5" max="5" width="12.28125" style="13" customWidth="1"/>
    <col min="6" max="6" width="36.28125" style="13" customWidth="1"/>
    <col min="7" max="7" width="11.00390625" style="13" customWidth="1"/>
    <col min="8" max="8" width="10.57421875" style="13" customWidth="1"/>
    <col min="9" max="9" width="10.140625" style="13" customWidth="1"/>
    <col min="10" max="10" width="11.8515625" style="53" customWidth="1"/>
    <col min="11" max="11" width="12.140625" style="53" customWidth="1"/>
    <col min="12" max="12" width="11.140625" style="53" customWidth="1"/>
    <col min="13" max="16384" width="11.421875" style="13" customWidth="1"/>
  </cols>
  <sheetData>
    <row r="1" spans="1:12" ht="12.75">
      <c r="A1" s="1892" t="s">
        <v>629</v>
      </c>
      <c r="B1" s="1892"/>
      <c r="C1" s="1892"/>
      <c r="D1" s="1892"/>
      <c r="E1" s="1892"/>
      <c r="F1" s="1892"/>
      <c r="G1" s="1892"/>
      <c r="H1" s="1892"/>
      <c r="I1" s="1892"/>
      <c r="J1" s="1892"/>
      <c r="K1" s="1892"/>
      <c r="L1" s="1892"/>
    </row>
    <row r="2" spans="1:12" s="50" customFormat="1" ht="12.75">
      <c r="A2" s="1902" t="s">
        <v>1275</v>
      </c>
      <c r="B2" s="1903"/>
      <c r="C2" s="1903"/>
      <c r="D2" s="1903"/>
      <c r="E2" s="1857"/>
      <c r="F2" s="1902" t="s">
        <v>1276</v>
      </c>
      <c r="G2" s="1903"/>
      <c r="H2" s="1903"/>
      <c r="I2" s="1903"/>
      <c r="J2" s="1903"/>
      <c r="K2" s="1903"/>
      <c r="L2" s="1857"/>
    </row>
    <row r="3" spans="1:12" s="50" customFormat="1" ht="12.75">
      <c r="A3" s="3"/>
      <c r="B3" s="1899" t="s">
        <v>1068</v>
      </c>
      <c r="C3" s="1900"/>
      <c r="D3" s="1901"/>
      <c r="E3" s="473" t="s">
        <v>1069</v>
      </c>
      <c r="F3" s="1884" t="s">
        <v>1068</v>
      </c>
      <c r="G3" s="1885"/>
      <c r="H3" s="1885"/>
      <c r="I3" s="1885"/>
      <c r="J3" s="1886"/>
      <c r="K3" s="470" t="s">
        <v>1069</v>
      </c>
      <c r="L3" s="474" t="s">
        <v>521</v>
      </c>
    </row>
    <row r="4" spans="1:12" s="50" customFormat="1" ht="12.75">
      <c r="A4" s="4"/>
      <c r="B4" s="279" t="s">
        <v>213</v>
      </c>
      <c r="C4" s="280" t="s">
        <v>212</v>
      </c>
      <c r="D4" s="281" t="s">
        <v>214</v>
      </c>
      <c r="E4" s="1244"/>
      <c r="F4" s="1881" t="s">
        <v>484</v>
      </c>
      <c r="G4" s="1882"/>
      <c r="H4" s="1882"/>
      <c r="I4" s="1882"/>
      <c r="J4" s="1882"/>
      <c r="K4" s="1882"/>
      <c r="L4" s="1259"/>
    </row>
    <row r="5" spans="1:12" s="50" customFormat="1" ht="12.75">
      <c r="A5" s="290" t="s">
        <v>1065</v>
      </c>
      <c r="B5" s="291">
        <v>40000</v>
      </c>
      <c r="C5" s="292"/>
      <c r="D5" s="1072">
        <f>B5</f>
        <v>40000</v>
      </c>
      <c r="E5" s="290"/>
      <c r="F5" s="1" t="s">
        <v>201</v>
      </c>
      <c r="G5" s="285" t="s">
        <v>960</v>
      </c>
      <c r="H5" s="285">
        <v>920000</v>
      </c>
      <c r="I5" s="286"/>
      <c r="J5" s="112">
        <v>960000</v>
      </c>
      <c r="K5" s="271">
        <v>640000</v>
      </c>
      <c r="L5" s="65"/>
    </row>
    <row r="6" spans="1:12" s="50" customFormat="1" ht="12.75">
      <c r="A6" s="4"/>
      <c r="B6" s="269"/>
      <c r="C6" s="268"/>
      <c r="D6" s="1073"/>
      <c r="E6" s="1245"/>
      <c r="F6" s="2" t="s">
        <v>1034</v>
      </c>
      <c r="G6" s="57"/>
      <c r="H6" s="57"/>
      <c r="I6" s="58"/>
      <c r="J6" s="66"/>
      <c r="K6" s="57"/>
      <c r="L6" s="66"/>
    </row>
    <row r="7" spans="1:12" s="50" customFormat="1" ht="12.75">
      <c r="A7" s="1063" t="s">
        <v>1031</v>
      </c>
      <c r="B7" s="1064"/>
      <c r="C7" s="1064"/>
      <c r="D7" s="1074"/>
      <c r="E7" s="1065"/>
      <c r="F7" s="2" t="s">
        <v>1036</v>
      </c>
      <c r="G7" s="57"/>
      <c r="H7" s="57"/>
      <c r="I7" s="58"/>
      <c r="J7" s="66">
        <v>32000</v>
      </c>
      <c r="K7" s="57"/>
      <c r="L7" s="66"/>
    </row>
    <row r="8" spans="1:12" s="50" customFormat="1" ht="12.75">
      <c r="A8" s="4" t="s">
        <v>1032</v>
      </c>
      <c r="B8" s="269">
        <v>18000</v>
      </c>
      <c r="C8" s="268">
        <v>4500</v>
      </c>
      <c r="D8" s="1073">
        <f aca="true" t="shared" si="0" ref="D8:D13">B8-C8</f>
        <v>13500</v>
      </c>
      <c r="E8" s="1245"/>
      <c r="F8" s="1896" t="s">
        <v>197</v>
      </c>
      <c r="G8" s="1897"/>
      <c r="H8" s="1897"/>
      <c r="I8" s="1898"/>
      <c r="J8" s="1140">
        <f>SUM(J5:J7)</f>
        <v>992000</v>
      </c>
      <c r="K8" s="1095">
        <f>SUM(K5:K7)</f>
        <v>640000</v>
      </c>
      <c r="L8" s="1140">
        <f>SUM(L5:L7)</f>
        <v>0</v>
      </c>
    </row>
    <row r="9" spans="1:12" s="50" customFormat="1" ht="12.75">
      <c r="A9" s="4" t="s">
        <v>1033</v>
      </c>
      <c r="B9" s="269"/>
      <c r="C9" s="268"/>
      <c r="D9" s="1073">
        <f t="shared" si="0"/>
        <v>0</v>
      </c>
      <c r="E9" s="1245"/>
      <c r="F9" s="2" t="s">
        <v>1039</v>
      </c>
      <c r="G9" s="57"/>
      <c r="H9" s="57"/>
      <c r="I9" s="58"/>
      <c r="J9" s="66"/>
      <c r="K9" s="57"/>
      <c r="L9" s="66"/>
    </row>
    <row r="10" spans="1:12" s="50" customFormat="1" ht="12.75">
      <c r="A10" s="4" t="s">
        <v>1035</v>
      </c>
      <c r="B10" s="269"/>
      <c r="C10" s="268"/>
      <c r="D10" s="1073">
        <f t="shared" si="0"/>
        <v>0</v>
      </c>
      <c r="E10" s="1245"/>
      <c r="F10" s="2" t="s">
        <v>1041</v>
      </c>
      <c r="G10" s="57"/>
      <c r="H10" s="57"/>
      <c r="I10" s="58"/>
      <c r="J10" s="66">
        <v>64000</v>
      </c>
      <c r="K10" s="57">
        <v>64000</v>
      </c>
      <c r="L10" s="66"/>
    </row>
    <row r="11" spans="1:12" s="50" customFormat="1" ht="12.75">
      <c r="A11" s="4" t="s">
        <v>1037</v>
      </c>
      <c r="B11" s="269"/>
      <c r="C11" s="268"/>
      <c r="D11" s="1073">
        <f t="shared" si="0"/>
        <v>0</v>
      </c>
      <c r="E11" s="1245"/>
      <c r="F11" s="2" t="s">
        <v>1042</v>
      </c>
      <c r="G11" s="57"/>
      <c r="H11" s="57"/>
      <c r="I11" s="58"/>
      <c r="J11" s="66"/>
      <c r="K11" s="57"/>
      <c r="L11" s="66"/>
    </row>
    <row r="12" spans="1:12" s="50" customFormat="1" ht="12.75">
      <c r="A12" s="4" t="s">
        <v>1038</v>
      </c>
      <c r="B12" s="269"/>
      <c r="C12" s="268"/>
      <c r="D12" s="1073">
        <f t="shared" si="0"/>
        <v>0</v>
      </c>
      <c r="E12" s="1245"/>
      <c r="F12" s="2" t="s">
        <v>203</v>
      </c>
      <c r="G12" s="57"/>
      <c r="H12" s="57"/>
      <c r="I12" s="58"/>
      <c r="J12" s="66">
        <v>28180</v>
      </c>
      <c r="K12" s="57">
        <v>28180</v>
      </c>
      <c r="L12" s="66"/>
    </row>
    <row r="13" spans="1:12" s="50" customFormat="1" ht="12.75">
      <c r="A13" s="4" t="s">
        <v>1040</v>
      </c>
      <c r="B13" s="269">
        <v>10000</v>
      </c>
      <c r="C13" s="268"/>
      <c r="D13" s="1073">
        <f t="shared" si="0"/>
        <v>10000</v>
      </c>
      <c r="E13" s="1245">
        <v>10000</v>
      </c>
      <c r="F13" s="2" t="s">
        <v>1044</v>
      </c>
      <c r="G13" s="57"/>
      <c r="H13" s="57"/>
      <c r="I13" s="58"/>
      <c r="J13" s="66">
        <v>60000</v>
      </c>
      <c r="K13" s="57">
        <v>140000</v>
      </c>
      <c r="L13" s="66"/>
    </row>
    <row r="14" spans="1:12" s="50" customFormat="1" ht="12.75">
      <c r="A14" s="4" t="s">
        <v>993</v>
      </c>
      <c r="B14" s="270"/>
      <c r="C14" s="268"/>
      <c r="D14" s="1073"/>
      <c r="E14" s="1246"/>
      <c r="F14" s="1896" t="s">
        <v>198</v>
      </c>
      <c r="G14" s="1897"/>
      <c r="H14" s="1897"/>
      <c r="I14" s="1898"/>
      <c r="J14" s="1140">
        <f>SUM(J10:J13)</f>
        <v>152180</v>
      </c>
      <c r="K14" s="1095">
        <f>SUM(K10:K13)</f>
        <v>232180</v>
      </c>
      <c r="L14" s="1140">
        <f>SUM(L10:L13)</f>
        <v>0</v>
      </c>
    </row>
    <row r="15" spans="1:12" s="50" customFormat="1" ht="12.75">
      <c r="A15" s="1158" t="s">
        <v>1071</v>
      </c>
      <c r="B15" s="1129">
        <f>SUM(B8:B14)</f>
        <v>28000</v>
      </c>
      <c r="C15" s="1078">
        <f>SUM(C8:C14)</f>
        <v>4500</v>
      </c>
      <c r="D15" s="1075">
        <f>SUM(D8:D14)</f>
        <v>23500</v>
      </c>
      <c r="E15" s="1247">
        <f>SUM(E5:E14)</f>
        <v>10000</v>
      </c>
      <c r="F15" s="1877" t="s">
        <v>874</v>
      </c>
      <c r="G15" s="1878"/>
      <c r="H15" s="1878"/>
      <c r="I15" s="1879"/>
      <c r="J15" s="1141">
        <f>J14+J8</f>
        <v>1144180</v>
      </c>
      <c r="K15" s="1206">
        <f>K14+K8</f>
        <v>872180</v>
      </c>
      <c r="L15" s="1141">
        <f>L14+L8</f>
        <v>0</v>
      </c>
    </row>
    <row r="16" spans="1:12" s="50" customFormat="1" ht="12.75">
      <c r="A16" s="4" t="s">
        <v>1043</v>
      </c>
      <c r="B16" s="269"/>
      <c r="C16" s="268"/>
      <c r="D16" s="1073"/>
      <c r="E16" s="1245"/>
      <c r="F16" s="1896" t="s">
        <v>1047</v>
      </c>
      <c r="G16" s="1897"/>
      <c r="H16" s="1897"/>
      <c r="I16" s="1898"/>
      <c r="J16" s="97">
        <v>19708</v>
      </c>
      <c r="K16" s="1160">
        <v>8656</v>
      </c>
      <c r="L16" s="97"/>
    </row>
    <row r="17" spans="1:12" s="50" customFormat="1" ht="12.75">
      <c r="A17" s="4" t="s">
        <v>1045</v>
      </c>
      <c r="B17" s="269">
        <v>50000</v>
      </c>
      <c r="C17" s="268"/>
      <c r="D17" s="1073">
        <f>B17-C17</f>
        <v>50000</v>
      </c>
      <c r="E17" s="1245">
        <v>65000</v>
      </c>
      <c r="F17" s="2"/>
      <c r="G17" s="57"/>
      <c r="H17" s="57"/>
      <c r="I17" s="58"/>
      <c r="J17" s="66"/>
      <c r="K17" s="57"/>
      <c r="L17" s="66"/>
    </row>
    <row r="18" spans="1:13" s="50" customFormat="1" ht="12.75">
      <c r="A18" s="4" t="s">
        <v>1046</v>
      </c>
      <c r="B18" s="269">
        <v>588000</v>
      </c>
      <c r="C18" s="268">
        <v>147000</v>
      </c>
      <c r="D18" s="1073">
        <f>B18-C18</f>
        <v>441000</v>
      </c>
      <c r="E18" s="1245">
        <v>380000</v>
      </c>
      <c r="F18" s="1893" t="s">
        <v>984</v>
      </c>
      <c r="G18" s="1894"/>
      <c r="H18" s="1894"/>
      <c r="I18" s="1895"/>
      <c r="J18" s="432">
        <v>245656</v>
      </c>
      <c r="K18" s="433">
        <v>134252</v>
      </c>
      <c r="L18" s="432"/>
      <c r="M18" s="57"/>
    </row>
    <row r="19" spans="1:12" s="50" customFormat="1" ht="12.75">
      <c r="A19" s="4" t="s">
        <v>1048</v>
      </c>
      <c r="B19" s="269">
        <v>478580</v>
      </c>
      <c r="C19" s="268">
        <v>174500</v>
      </c>
      <c r="D19" s="1073">
        <f>B19-C19</f>
        <v>304080</v>
      </c>
      <c r="E19" s="1245">
        <v>274600</v>
      </c>
      <c r="F19" s="2"/>
      <c r="G19" s="57"/>
      <c r="H19" s="57"/>
      <c r="I19" s="58"/>
      <c r="J19" s="66"/>
      <c r="K19" s="57"/>
      <c r="L19" s="66"/>
    </row>
    <row r="20" spans="1:12" s="50" customFormat="1" ht="12.75">
      <c r="A20" s="4" t="s">
        <v>1049</v>
      </c>
      <c r="B20" s="269">
        <v>273660</v>
      </c>
      <c r="C20" s="268">
        <v>150510</v>
      </c>
      <c r="D20" s="1073">
        <f>B20-C20</f>
        <v>123150</v>
      </c>
      <c r="E20" s="1245">
        <v>125120</v>
      </c>
      <c r="F20" s="2"/>
      <c r="G20" s="57"/>
      <c r="H20" s="57"/>
      <c r="I20" s="58"/>
      <c r="J20" s="66"/>
      <c r="K20" s="57"/>
      <c r="L20" s="66"/>
    </row>
    <row r="21" spans="1:12" s="50" customFormat="1" ht="12.75">
      <c r="A21" s="4" t="s">
        <v>1050</v>
      </c>
      <c r="B21" s="270">
        <v>22300</v>
      </c>
      <c r="C21" s="268"/>
      <c r="D21" s="1073">
        <f>B21-C21</f>
        <v>22300</v>
      </c>
      <c r="E21" s="1246">
        <v>8000</v>
      </c>
      <c r="F21" s="2" t="s">
        <v>199</v>
      </c>
      <c r="G21" s="57"/>
      <c r="H21" s="57"/>
      <c r="I21" s="58"/>
      <c r="J21" s="66"/>
      <c r="K21" s="57">
        <v>16875</v>
      </c>
      <c r="L21" s="66"/>
    </row>
    <row r="22" spans="1:12" s="50" customFormat="1" ht="12.75">
      <c r="A22" s="1158" t="s">
        <v>1072</v>
      </c>
      <c r="B22" s="1129">
        <f>SUM(B17:B21)</f>
        <v>1412540</v>
      </c>
      <c r="C22" s="1078">
        <f>SUM(C17:C21)</f>
        <v>472010</v>
      </c>
      <c r="D22" s="1075">
        <f>SUM(D17:D21)</f>
        <v>940530</v>
      </c>
      <c r="E22" s="1247">
        <f>SUM(E17:E21)</f>
        <v>852720</v>
      </c>
      <c r="F22" s="2" t="s">
        <v>200</v>
      </c>
      <c r="G22" s="57"/>
      <c r="H22" s="57"/>
      <c r="I22" s="58"/>
      <c r="J22" s="66">
        <v>28520</v>
      </c>
      <c r="K22" s="57">
        <v>24600</v>
      </c>
      <c r="L22" s="66"/>
    </row>
    <row r="23" spans="1:12" s="50" customFormat="1" ht="12.75">
      <c r="A23" s="4" t="s">
        <v>1051</v>
      </c>
      <c r="B23" s="269"/>
      <c r="C23" s="268"/>
      <c r="D23" s="1073"/>
      <c r="E23" s="1245"/>
      <c r="F23" s="1821" t="s">
        <v>202</v>
      </c>
      <c r="G23" s="1822"/>
      <c r="H23" s="1822"/>
      <c r="I23" s="1880"/>
      <c r="J23" s="1140">
        <f>SUM(J21:J22)</f>
        <v>28520</v>
      </c>
      <c r="K23" s="1095">
        <f>SUM(K21:K22)</f>
        <v>41475</v>
      </c>
      <c r="L23" s="1140">
        <f>SUM(L21:L22)</f>
        <v>0</v>
      </c>
    </row>
    <row r="24" spans="1:12" s="50" customFormat="1" ht="12.75">
      <c r="A24" s="4" t="s">
        <v>215</v>
      </c>
      <c r="B24" s="269">
        <v>75000</v>
      </c>
      <c r="C24" s="268"/>
      <c r="D24" s="1073">
        <f>B24-C24</f>
        <v>75000</v>
      </c>
      <c r="E24" s="1245">
        <v>75000</v>
      </c>
      <c r="F24" s="1877" t="s">
        <v>288</v>
      </c>
      <c r="G24" s="1878"/>
      <c r="H24" s="1878"/>
      <c r="I24" s="1879"/>
      <c r="J24" s="1141">
        <f>J23+J18+J16+J14+J8</f>
        <v>1438064</v>
      </c>
      <c r="K24" s="1142">
        <f>K23+K18+K16+K14+K8</f>
        <v>1056563</v>
      </c>
      <c r="L24" s="1240">
        <f>L23+L18+L16+L14+L8</f>
        <v>0</v>
      </c>
    </row>
    <row r="25" spans="1:12" s="50" customFormat="1" ht="12.75">
      <c r="A25" s="4" t="s">
        <v>1052</v>
      </c>
      <c r="B25" s="269"/>
      <c r="C25" s="268"/>
      <c r="D25" s="1073">
        <f>B25-C25</f>
        <v>0</v>
      </c>
      <c r="E25" s="1245"/>
      <c r="F25" s="2"/>
      <c r="G25" s="57"/>
      <c r="H25" s="57"/>
      <c r="I25" s="58"/>
      <c r="J25" s="66"/>
      <c r="K25" s="57"/>
      <c r="L25" s="66"/>
    </row>
    <row r="26" spans="1:12" s="50" customFormat="1" ht="12.75">
      <c r="A26" s="4" t="s">
        <v>1054</v>
      </c>
      <c r="B26" s="269">
        <v>58000</v>
      </c>
      <c r="C26" s="268">
        <v>2000</v>
      </c>
      <c r="D26" s="1073">
        <f>B26-C26</f>
        <v>56000</v>
      </c>
      <c r="E26" s="1245">
        <v>56000</v>
      </c>
      <c r="F26" s="2" t="s">
        <v>1053</v>
      </c>
      <c r="G26" s="57"/>
      <c r="H26" s="57"/>
      <c r="I26" s="58"/>
      <c r="J26" s="66">
        <v>3000</v>
      </c>
      <c r="K26" s="57">
        <v>6600</v>
      </c>
      <c r="L26" s="66"/>
    </row>
    <row r="27" spans="1:12" s="50" customFormat="1" ht="12.75">
      <c r="A27" s="4" t="s">
        <v>1056</v>
      </c>
      <c r="B27" s="270">
        <v>30000</v>
      </c>
      <c r="C27" s="268"/>
      <c r="D27" s="1073">
        <f>B27-C27</f>
        <v>30000</v>
      </c>
      <c r="E27" s="1246">
        <v>35000</v>
      </c>
      <c r="F27" s="2" t="s">
        <v>1055</v>
      </c>
      <c r="G27" s="57"/>
      <c r="H27" s="57"/>
      <c r="I27" s="58"/>
      <c r="J27" s="66">
        <v>0</v>
      </c>
      <c r="K27" s="57"/>
      <c r="L27" s="66"/>
    </row>
    <row r="28" spans="1:12" s="50" customFormat="1" ht="12.75">
      <c r="A28" s="4" t="s">
        <v>1057</v>
      </c>
      <c r="B28" s="270"/>
      <c r="C28" s="268"/>
      <c r="D28" s="1073">
        <f>B28-C28</f>
        <v>0</v>
      </c>
      <c r="E28" s="1246"/>
      <c r="F28" s="2"/>
      <c r="I28" s="59"/>
      <c r="J28" s="4"/>
      <c r="L28" s="4"/>
    </row>
    <row r="29" spans="1:12" s="50" customFormat="1" ht="12.75">
      <c r="A29" s="287" t="s">
        <v>1073</v>
      </c>
      <c r="B29" s="277">
        <f>SUM(B24:B28)</f>
        <v>163000</v>
      </c>
      <c r="C29" s="278">
        <f>SUM(C24:C28)</f>
        <v>2000</v>
      </c>
      <c r="D29" s="1075">
        <f>SUM(D24:D28)</f>
        <v>161000</v>
      </c>
      <c r="E29" s="1247">
        <f>SUM(E24:E28)</f>
        <v>166000</v>
      </c>
      <c r="F29" s="1889" t="s">
        <v>287</v>
      </c>
      <c r="G29" s="1890"/>
      <c r="H29" s="1890"/>
      <c r="I29" s="1891"/>
      <c r="J29" s="1140">
        <f>SUM(J26:J27)</f>
        <v>3000</v>
      </c>
      <c r="K29" s="1095">
        <f>SUM(K26:K27)</f>
        <v>6600</v>
      </c>
      <c r="L29" s="1241">
        <f>SUM(L26:L27)</f>
        <v>0</v>
      </c>
    </row>
    <row r="30" spans="1:12" s="50" customFormat="1" ht="12.75">
      <c r="A30" s="4"/>
      <c r="B30" s="269"/>
      <c r="C30" s="268"/>
      <c r="D30" s="1073"/>
      <c r="E30" s="1245"/>
      <c r="F30" s="2"/>
      <c r="I30" s="59"/>
      <c r="J30" s="4"/>
      <c r="L30" s="4"/>
    </row>
    <row r="31" spans="1:12" s="1085" customFormat="1" ht="12.75">
      <c r="A31" s="1120" t="s">
        <v>224</v>
      </c>
      <c r="B31" s="1121">
        <f>B29+B22+B15+B5</f>
        <v>1643540</v>
      </c>
      <c r="C31" s="1083">
        <f>C29+C22+C15</f>
        <v>478510</v>
      </c>
      <c r="D31" s="1076">
        <f>B31-C31</f>
        <v>1165030</v>
      </c>
      <c r="E31" s="1248">
        <f>E29+E22+E15+E5</f>
        <v>1028720</v>
      </c>
      <c r="F31" s="1086"/>
      <c r="G31" s="1087"/>
      <c r="H31" s="1087"/>
      <c r="I31" s="1088" t="s">
        <v>1142</v>
      </c>
      <c r="J31" s="1178">
        <f>J29+J24+J18+J16+J14+J8</f>
        <v>2850608</v>
      </c>
      <c r="K31" s="1087"/>
      <c r="L31" s="1260">
        <f>J31-D31</f>
        <v>1685578</v>
      </c>
    </row>
    <row r="32" spans="1:12" s="50" customFormat="1" ht="12.75">
      <c r="A32" s="1881" t="s">
        <v>483</v>
      </c>
      <c r="B32" s="1882"/>
      <c r="C32" s="1882"/>
      <c r="D32" s="1882"/>
      <c r="E32" s="1883"/>
      <c r="F32" s="1881" t="s">
        <v>482</v>
      </c>
      <c r="G32" s="1882"/>
      <c r="H32" s="1882"/>
      <c r="I32" s="1882"/>
      <c r="J32" s="1882"/>
      <c r="K32" s="1882"/>
      <c r="L32" s="1259"/>
    </row>
    <row r="33" spans="1:12" s="50" customFormat="1" ht="12.75">
      <c r="A33" s="3" t="s">
        <v>1059</v>
      </c>
      <c r="B33" s="282"/>
      <c r="C33" s="289"/>
      <c r="D33" s="1077"/>
      <c r="E33" s="1249"/>
      <c r="F33" s="1"/>
      <c r="G33" s="417" t="s">
        <v>1269</v>
      </c>
      <c r="H33" s="415" t="s">
        <v>1270</v>
      </c>
      <c r="I33" s="418" t="s">
        <v>1271</v>
      </c>
      <c r="J33" s="518" t="s">
        <v>1165</v>
      </c>
      <c r="K33" s="54"/>
      <c r="L33" s="65"/>
    </row>
    <row r="34" spans="1:12" s="50" customFormat="1" ht="12.75">
      <c r="A34" s="4" t="s">
        <v>1061</v>
      </c>
      <c r="B34" s="269">
        <v>1043200</v>
      </c>
      <c r="C34" s="268"/>
      <c r="D34" s="1073">
        <f>B34-C34</f>
        <v>1043200</v>
      </c>
      <c r="E34" s="1245">
        <v>1087840</v>
      </c>
      <c r="F34" s="2" t="s">
        <v>1058</v>
      </c>
      <c r="G34" s="419"/>
      <c r="H34" s="294"/>
      <c r="I34" s="420"/>
      <c r="J34" s="56"/>
      <c r="K34" s="56"/>
      <c r="L34" s="66"/>
    </row>
    <row r="35" spans="1:12" s="50" customFormat="1" ht="12.75">
      <c r="A35" s="4" t="s">
        <v>217</v>
      </c>
      <c r="B35" s="269">
        <v>264500</v>
      </c>
      <c r="C35" s="268"/>
      <c r="D35" s="1073">
        <f>B35-C35</f>
        <v>264500</v>
      </c>
      <c r="E35" s="1245">
        <v>284255</v>
      </c>
      <c r="F35" s="2" t="s">
        <v>1060</v>
      </c>
      <c r="G35" s="419"/>
      <c r="H35" s="294"/>
      <c r="I35" s="420"/>
      <c r="J35" s="416">
        <v>978092</v>
      </c>
      <c r="K35" s="56">
        <v>1045918</v>
      </c>
      <c r="L35" s="66"/>
    </row>
    <row r="36" spans="1:12" s="50" customFormat="1" ht="12.75">
      <c r="A36" s="4" t="s">
        <v>216</v>
      </c>
      <c r="D36" s="1159"/>
      <c r="E36" s="4"/>
      <c r="F36" s="2" t="s">
        <v>1062</v>
      </c>
      <c r="G36" s="419"/>
      <c r="H36" s="294"/>
      <c r="I36" s="420"/>
      <c r="J36" s="416">
        <v>347650</v>
      </c>
      <c r="K36" s="56">
        <v>360000</v>
      </c>
      <c r="L36" s="66"/>
    </row>
    <row r="37" spans="1:12" s="50" customFormat="1" ht="12.75">
      <c r="A37" s="1128" t="s">
        <v>1267</v>
      </c>
      <c r="B37" s="1129">
        <f>SUM(B35:B36)</f>
        <v>264500</v>
      </c>
      <c r="C37" s="1078">
        <f>SUM(C35:C36)</f>
        <v>0</v>
      </c>
      <c r="D37" s="1078">
        <f>SUM(D35:D36)</f>
        <v>264500</v>
      </c>
      <c r="E37" s="1247">
        <f>SUM(E35:E36)</f>
        <v>284255</v>
      </c>
      <c r="F37" s="1089" t="s">
        <v>1274</v>
      </c>
      <c r="G37" s="1090"/>
      <c r="H37" s="1091"/>
      <c r="I37" s="1092"/>
      <c r="J37" s="1143">
        <f>SUM(J35:J36)</f>
        <v>1325742</v>
      </c>
      <c r="K37" s="1143">
        <f>SUM(K35:K36)</f>
        <v>1405918</v>
      </c>
      <c r="L37" s="1242">
        <f>SUM(L35:L36)</f>
        <v>0</v>
      </c>
    </row>
    <row r="38" spans="1:12" s="50" customFormat="1" ht="12.75">
      <c r="A38" s="4" t="s">
        <v>1063</v>
      </c>
      <c r="B38" s="269">
        <v>396180</v>
      </c>
      <c r="C38" s="268"/>
      <c r="D38" s="1073">
        <f>B38-C38</f>
        <v>396180</v>
      </c>
      <c r="E38" s="1245">
        <v>254040</v>
      </c>
      <c r="F38" s="2"/>
      <c r="G38" s="419"/>
      <c r="H38" s="294"/>
      <c r="I38" s="420"/>
      <c r="J38" s="2"/>
      <c r="K38" s="2"/>
      <c r="L38" s="4"/>
    </row>
    <row r="39" spans="1:12" s="50" customFormat="1" ht="12.75">
      <c r="A39" s="4" t="s">
        <v>1064</v>
      </c>
      <c r="B39" s="270"/>
      <c r="C39" s="268"/>
      <c r="D39" s="1073">
        <f>B39-C39</f>
        <v>0</v>
      </c>
      <c r="E39" s="1246"/>
      <c r="F39" s="421" t="s">
        <v>1273</v>
      </c>
      <c r="G39" s="419"/>
      <c r="H39" s="294"/>
      <c r="I39" s="420"/>
      <c r="J39" s="416">
        <v>255300</v>
      </c>
      <c r="K39" s="56">
        <v>194600</v>
      </c>
      <c r="L39" s="66"/>
    </row>
    <row r="40" spans="1:12" s="50" customFormat="1" ht="12.75">
      <c r="A40" s="1130" t="s">
        <v>225</v>
      </c>
      <c r="B40" s="1131">
        <f>SUM(B37:B39)+B34</f>
        <v>1703880</v>
      </c>
      <c r="C40" s="1132">
        <f>SUM(C37:C39)+C34</f>
        <v>0</v>
      </c>
      <c r="D40" s="1079">
        <f>SUM(D37:D39)+D34</f>
        <v>1703880</v>
      </c>
      <c r="E40" s="1250">
        <f>SUM(E37:E39)+E34</f>
        <v>1626135</v>
      </c>
      <c r="F40" s="1089" t="s">
        <v>1268</v>
      </c>
      <c r="G40" s="1090"/>
      <c r="H40" s="1091"/>
      <c r="I40" s="1092"/>
      <c r="J40" s="1143">
        <v>1824200</v>
      </c>
      <c r="K40" s="1144">
        <v>1644500</v>
      </c>
      <c r="L40" s="1140"/>
    </row>
    <row r="41" spans="1:12" s="50" customFormat="1" ht="12.75">
      <c r="A41" s="4" t="s">
        <v>218</v>
      </c>
      <c r="B41" s="269">
        <v>0</v>
      </c>
      <c r="C41" s="268"/>
      <c r="D41" s="1073">
        <f>B41-C41</f>
        <v>0</v>
      </c>
      <c r="E41" s="1245"/>
      <c r="F41" s="416" t="s">
        <v>204</v>
      </c>
      <c r="G41" s="419"/>
      <c r="H41" s="294"/>
      <c r="I41" s="420"/>
      <c r="J41" s="416">
        <v>81767</v>
      </c>
      <c r="K41" s="56">
        <v>42872</v>
      </c>
      <c r="L41" s="66"/>
    </row>
    <row r="42" spans="1:12" s="50" customFormat="1" ht="12.75">
      <c r="A42" s="4"/>
      <c r="B42" s="284"/>
      <c r="C42" s="293"/>
      <c r="D42" s="1080"/>
      <c r="E42" s="1251"/>
      <c r="F42" s="416" t="s">
        <v>205</v>
      </c>
      <c r="G42" s="419"/>
      <c r="H42" s="294"/>
      <c r="I42" s="420"/>
      <c r="J42" s="416"/>
      <c r="K42" s="56"/>
      <c r="L42" s="66"/>
    </row>
    <row r="43" spans="1:12" s="50" customFormat="1" ht="12.75">
      <c r="A43" s="288" t="s">
        <v>219</v>
      </c>
      <c r="B43" s="289"/>
      <c r="C43" s="289"/>
      <c r="D43" s="1077"/>
      <c r="E43" s="1249"/>
      <c r="F43" s="1089" t="s">
        <v>1279</v>
      </c>
      <c r="G43" s="1090"/>
      <c r="H43" s="1091"/>
      <c r="I43" s="1092"/>
      <c r="J43" s="1143">
        <v>491312</v>
      </c>
      <c r="K43" s="1143">
        <v>322215</v>
      </c>
      <c r="L43" s="1140"/>
    </row>
    <row r="44" spans="1:12" s="50" customFormat="1" ht="12.75">
      <c r="A44" s="4" t="s">
        <v>220</v>
      </c>
      <c r="B44" s="268">
        <v>2289600</v>
      </c>
      <c r="C44" s="268">
        <v>124000</v>
      </c>
      <c r="D44" s="1073">
        <f aca="true" t="shared" si="1" ref="D44:D51">B44-C44</f>
        <v>2165600</v>
      </c>
      <c r="E44" s="1245">
        <v>1770021</v>
      </c>
      <c r="F44" s="422" t="s">
        <v>284</v>
      </c>
      <c r="G44" s="419"/>
      <c r="H44" s="294"/>
      <c r="I44" s="420"/>
      <c r="J44" s="416"/>
      <c r="K44" s="56"/>
      <c r="L44" s="66"/>
    </row>
    <row r="45" spans="1:12" s="50" customFormat="1" ht="12.75">
      <c r="A45" s="4" t="s">
        <v>221</v>
      </c>
      <c r="B45" s="269">
        <v>4808</v>
      </c>
      <c r="C45" s="268"/>
      <c r="D45" s="1073">
        <f t="shared" si="1"/>
        <v>4808</v>
      </c>
      <c r="E45" s="1245"/>
      <c r="F45" s="422" t="s">
        <v>285</v>
      </c>
      <c r="G45" s="419"/>
      <c r="H45" s="294"/>
      <c r="I45" s="420"/>
      <c r="J45" s="416"/>
      <c r="K45" s="56"/>
      <c r="L45" s="66"/>
    </row>
    <row r="46" spans="1:12" s="50" customFormat="1" ht="12.75">
      <c r="A46" s="4" t="s">
        <v>1065</v>
      </c>
      <c r="B46" s="269"/>
      <c r="C46" s="268"/>
      <c r="D46" s="1073">
        <f t="shared" si="1"/>
        <v>0</v>
      </c>
      <c r="E46" s="1245"/>
      <c r="F46" s="95" t="s">
        <v>872</v>
      </c>
      <c r="G46" s="1202"/>
      <c r="H46" s="1203"/>
      <c r="I46" s="1204"/>
      <c r="J46" s="1205">
        <f>SUM(J44:J45)</f>
        <v>0</v>
      </c>
      <c r="K46" s="1205">
        <f>SUM(K44:K45)</f>
        <v>0</v>
      </c>
      <c r="L46" s="97">
        <f>SUM(L44:L45)</f>
        <v>0</v>
      </c>
    </row>
    <row r="47" spans="1:12" s="50" customFormat="1" ht="12.75">
      <c r="A47" s="1133" t="s">
        <v>226</v>
      </c>
      <c r="B47" s="1134">
        <f>SUM(B44:B46)</f>
        <v>2294408</v>
      </c>
      <c r="C47" s="1135">
        <f>SUM(C44:C46)</f>
        <v>124000</v>
      </c>
      <c r="D47" s="1081">
        <f t="shared" si="1"/>
        <v>2170408</v>
      </c>
      <c r="E47" s="1252">
        <f>SUM(E44:E46)</f>
        <v>1770021</v>
      </c>
      <c r="F47" s="1097" t="s">
        <v>286</v>
      </c>
      <c r="G47" s="1199"/>
      <c r="H47" s="1200"/>
      <c r="I47" s="1201"/>
      <c r="J47" s="1123">
        <f>J46+J43+J40+J39+J37</f>
        <v>3896554</v>
      </c>
      <c r="K47" s="1123">
        <f>K46+K43+K40+K39+K37</f>
        <v>3567233</v>
      </c>
      <c r="L47" s="1141">
        <f>L46+L43+L40+L39+L37</f>
        <v>0</v>
      </c>
    </row>
    <row r="48" spans="1:12" ht="12.75">
      <c r="A48" s="3" t="s">
        <v>222</v>
      </c>
      <c r="B48" s="282"/>
      <c r="C48" s="1066"/>
      <c r="D48" s="1077">
        <f t="shared" si="1"/>
        <v>0</v>
      </c>
      <c r="E48" s="283"/>
      <c r="F48" s="1099"/>
      <c r="G48" s="1100"/>
      <c r="H48" s="1100"/>
      <c r="I48" s="1101"/>
      <c r="J48" s="48"/>
      <c r="K48" s="48"/>
      <c r="L48" s="67"/>
    </row>
    <row r="49" spans="1:12" ht="12.75">
      <c r="A49" s="4" t="s">
        <v>1066</v>
      </c>
      <c r="B49" s="358"/>
      <c r="C49" s="1067"/>
      <c r="D49" s="1082">
        <f t="shared" si="1"/>
        <v>0</v>
      </c>
      <c r="E49" s="357"/>
      <c r="F49" s="1099"/>
      <c r="G49" s="1100"/>
      <c r="H49" s="1100"/>
      <c r="I49" s="1101"/>
      <c r="J49" s="48"/>
      <c r="K49" s="48"/>
      <c r="L49" s="67"/>
    </row>
    <row r="50" spans="1:12" ht="12.75">
      <c r="A50" s="14" t="s">
        <v>223</v>
      </c>
      <c r="B50" s="269">
        <v>14000</v>
      </c>
      <c r="C50" s="1068">
        <v>1000</v>
      </c>
      <c r="D50" s="1073">
        <f t="shared" si="1"/>
        <v>13000</v>
      </c>
      <c r="E50" s="273">
        <v>40800</v>
      </c>
      <c r="F50" s="2"/>
      <c r="G50" s="1100"/>
      <c r="H50" s="1100"/>
      <c r="I50" s="1101"/>
      <c r="J50" s="67"/>
      <c r="K50" s="48"/>
      <c r="L50" s="67"/>
    </row>
    <row r="51" spans="1:12" ht="12.75">
      <c r="A51" s="4" t="s">
        <v>1067</v>
      </c>
      <c r="B51" s="269">
        <v>263800</v>
      </c>
      <c r="C51" s="268"/>
      <c r="D51" s="1073">
        <f t="shared" si="1"/>
        <v>263800</v>
      </c>
      <c r="E51" s="273">
        <v>146120</v>
      </c>
      <c r="F51" s="2" t="s">
        <v>1076</v>
      </c>
      <c r="G51" s="469"/>
      <c r="H51" s="57"/>
      <c r="I51" s="58"/>
      <c r="J51" s="56">
        <f>SUM(G51:I51)</f>
        <v>0</v>
      </c>
      <c r="K51" s="56"/>
      <c r="L51" s="66"/>
    </row>
    <row r="52" spans="1:12" ht="12.75">
      <c r="A52" s="1136" t="s">
        <v>304</v>
      </c>
      <c r="B52" s="1129">
        <f>SUM(B50:B51)</f>
        <v>277800</v>
      </c>
      <c r="C52" s="1078">
        <f>SUM(C50:C51)</f>
        <v>1000</v>
      </c>
      <c r="D52" s="1075">
        <f>SUM(D50:D51)</f>
        <v>276800</v>
      </c>
      <c r="E52" s="1075">
        <f>SUM(E50:E51)</f>
        <v>186920</v>
      </c>
      <c r="F52" s="1093"/>
      <c r="G52" s="1094"/>
      <c r="H52" s="1095"/>
      <c r="I52" s="1096"/>
      <c r="J52" s="1144">
        <f>J51+J50</f>
        <v>0</v>
      </c>
      <c r="K52" s="1144"/>
      <c r="L52" s="1140"/>
    </row>
    <row r="53" spans="1:12" ht="12.75">
      <c r="A53" s="361" t="s">
        <v>270</v>
      </c>
      <c r="B53" s="284"/>
      <c r="C53" s="293"/>
      <c r="D53" s="1080"/>
      <c r="E53" s="360"/>
      <c r="F53" s="1099"/>
      <c r="G53" s="50"/>
      <c r="H53" s="57"/>
      <c r="I53" s="58"/>
      <c r="J53" s="56">
        <f>SUM(G53:I53)</f>
        <v>0</v>
      </c>
      <c r="K53" s="56"/>
      <c r="L53" s="66"/>
    </row>
    <row r="54" spans="1:12" s="1124" customFormat="1" ht="12.75">
      <c r="A54" s="1122" t="s">
        <v>1143</v>
      </c>
      <c r="B54" s="1083">
        <f>B53+B52+B47+B41+B40</f>
        <v>4276088</v>
      </c>
      <c r="C54" s="1083">
        <f>C53+C52+C47+C41+C40</f>
        <v>125000</v>
      </c>
      <c r="D54" s="1083">
        <f>B54-C54</f>
        <v>4151088</v>
      </c>
      <c r="E54" s="1076">
        <f>E53+E52+E47+E41+E40</f>
        <v>3583076</v>
      </c>
      <c r="F54" s="1097" t="s">
        <v>1075</v>
      </c>
      <c r="G54" s="1098"/>
      <c r="H54" s="1098"/>
      <c r="I54" s="1084"/>
      <c r="J54" s="1123">
        <f>J518+J47</f>
        <v>3896554</v>
      </c>
      <c r="K54" s="1123"/>
      <c r="L54" s="1261">
        <f>J54-D54</f>
        <v>-254534</v>
      </c>
    </row>
    <row r="55" spans="1:12" ht="12.75">
      <c r="A55" s="2" t="s">
        <v>1266</v>
      </c>
      <c r="B55" s="1069">
        <v>16200</v>
      </c>
      <c r="C55" s="292"/>
      <c r="D55" s="1077">
        <f>B55-C55</f>
        <v>16200</v>
      </c>
      <c r="E55" s="1253">
        <v>12000</v>
      </c>
      <c r="F55" s="1099"/>
      <c r="G55" s="1100"/>
      <c r="H55" s="1100"/>
      <c r="I55" s="1101"/>
      <c r="J55" s="402"/>
      <c r="K55" s="48"/>
      <c r="L55" s="67"/>
    </row>
    <row r="56" spans="1:12" ht="12.75">
      <c r="A56" s="29" t="s">
        <v>1265</v>
      </c>
      <c r="B56" s="1070">
        <v>5800</v>
      </c>
      <c r="C56" s="272"/>
      <c r="D56" s="1073">
        <f>B56-C56</f>
        <v>5800</v>
      </c>
      <c r="E56" s="1254">
        <v>6600</v>
      </c>
      <c r="F56" s="295" t="s">
        <v>1272</v>
      </c>
      <c r="G56" s="296"/>
      <c r="H56" s="296"/>
      <c r="I56" s="571"/>
      <c r="J56" s="481">
        <v>500</v>
      </c>
      <c r="K56" s="481"/>
      <c r="L56" s="1243"/>
    </row>
    <row r="57" spans="1:12" ht="12.75">
      <c r="A57" s="30" t="s">
        <v>229</v>
      </c>
      <c r="B57" s="1071"/>
      <c r="C57" s="362"/>
      <c r="D57" s="1080">
        <f>B57-C57</f>
        <v>0</v>
      </c>
      <c r="E57" s="1255"/>
      <c r="F57" s="1099"/>
      <c r="G57" s="1100"/>
      <c r="H57" s="1100"/>
      <c r="I57" s="1101"/>
      <c r="J57" s="56">
        <f>SUM(G57:I57)</f>
        <v>0</v>
      </c>
      <c r="K57" s="48"/>
      <c r="L57" s="67"/>
    </row>
    <row r="58" spans="1:12" ht="12.75">
      <c r="A58" s="1137" t="s">
        <v>228</v>
      </c>
      <c r="B58" s="1138">
        <f>SUM(B55:B57)</f>
        <v>22000</v>
      </c>
      <c r="C58" s="1139"/>
      <c r="D58" s="1075">
        <f>SUM(D55:D57)</f>
        <v>22000</v>
      </c>
      <c r="E58" s="1256">
        <f>SUM(E55:E57)</f>
        <v>18600</v>
      </c>
      <c r="F58" s="1099"/>
      <c r="G58" s="1100"/>
      <c r="H58" s="1100"/>
      <c r="I58" s="1101"/>
      <c r="J58" s="56">
        <f>SUM(G58:I58)</f>
        <v>0</v>
      </c>
      <c r="K58" s="48"/>
      <c r="L58" s="67"/>
    </row>
    <row r="59" spans="1:12" s="1127" customFormat="1" ht="12.75">
      <c r="A59" s="1122" t="s">
        <v>227</v>
      </c>
      <c r="B59" s="1125">
        <f>B58+B54+B31</f>
        <v>5941628</v>
      </c>
      <c r="C59" s="1098">
        <f>C57+C56+C556+C54+C31</f>
        <v>603510</v>
      </c>
      <c r="D59" s="1084">
        <f>D57+D56+D556+D54+D31</f>
        <v>5321918</v>
      </c>
      <c r="E59" s="1257">
        <f>E54+E47</f>
        <v>5353097</v>
      </c>
      <c r="F59" s="1097" t="s">
        <v>206</v>
      </c>
      <c r="G59" s="1098"/>
      <c r="H59" s="1098"/>
      <c r="I59" s="1084"/>
      <c r="J59" s="1126">
        <f>J56+J47+J29+J24+J54</f>
        <v>9234672</v>
      </c>
      <c r="K59" s="1126">
        <f>K56+K47+K29+K24+K54</f>
        <v>4630396</v>
      </c>
      <c r="L59" s="1261">
        <f>J59-D59</f>
        <v>3912754</v>
      </c>
    </row>
    <row r="60" spans="1:12" ht="12.75">
      <c r="A60" s="1486" t="s">
        <v>1235</v>
      </c>
      <c r="B60" s="1528"/>
      <c r="C60" s="1528"/>
      <c r="D60" s="1528"/>
      <c r="E60" s="1487"/>
      <c r="F60" s="1855" t="s">
        <v>1235</v>
      </c>
      <c r="G60" s="1856"/>
      <c r="H60" s="1856"/>
      <c r="I60" s="1856"/>
      <c r="J60" s="1528"/>
      <c r="K60" s="1528"/>
      <c r="L60" s="1487"/>
    </row>
    <row r="61" spans="1:12" ht="12.75">
      <c r="A61" s="274"/>
      <c r="B61" s="274"/>
      <c r="C61" s="52"/>
      <c r="D61" s="45"/>
      <c r="E61" s="364"/>
      <c r="F61" s="1102"/>
      <c r="G61" s="1103"/>
      <c r="H61" s="1103"/>
      <c r="I61" s="1104"/>
      <c r="J61" s="1105"/>
      <c r="K61" s="1105"/>
      <c r="L61" s="1105"/>
    </row>
    <row r="62" spans="1:12" ht="12.75">
      <c r="A62" s="29"/>
      <c r="B62" s="29"/>
      <c r="C62" s="47"/>
      <c r="D62" s="46"/>
      <c r="E62" s="67"/>
      <c r="F62" s="1099" t="s">
        <v>207</v>
      </c>
      <c r="G62" s="1100"/>
      <c r="H62" s="1106"/>
      <c r="I62" s="1107"/>
      <c r="J62" s="1055">
        <v>28180</v>
      </c>
      <c r="K62" s="1055"/>
      <c r="L62" s="1055"/>
    </row>
    <row r="63" spans="1:12" ht="12.75">
      <c r="A63" s="29"/>
      <c r="B63" s="29"/>
      <c r="C63" s="47"/>
      <c r="D63" s="46"/>
      <c r="E63" s="67"/>
      <c r="F63" s="1099"/>
      <c r="G63" s="1100"/>
      <c r="H63" s="1106"/>
      <c r="I63" s="1107"/>
      <c r="J63" s="1055"/>
      <c r="K63" s="1055"/>
      <c r="L63" s="1055"/>
    </row>
    <row r="64" spans="1:12" ht="12.75">
      <c r="A64" s="29"/>
      <c r="B64" s="29"/>
      <c r="C64" s="47"/>
      <c r="D64" s="46"/>
      <c r="E64" s="67"/>
      <c r="F64" s="1099"/>
      <c r="G64" s="1100"/>
      <c r="H64" s="1106"/>
      <c r="I64" s="1107"/>
      <c r="J64" s="1055"/>
      <c r="K64" s="1055"/>
      <c r="L64" s="1055"/>
    </row>
    <row r="65" spans="1:12" ht="12.75">
      <c r="A65" s="29"/>
      <c r="B65" s="29"/>
      <c r="C65" s="47"/>
      <c r="D65" s="46"/>
      <c r="E65" s="67"/>
      <c r="F65" s="1099"/>
      <c r="G65" s="1100"/>
      <c r="H65" s="1106"/>
      <c r="I65" s="1107"/>
      <c r="J65" s="1055"/>
      <c r="K65" s="1055"/>
      <c r="L65" s="1055"/>
    </row>
    <row r="66" spans="1:12" ht="12.75">
      <c r="A66" s="29"/>
      <c r="B66" s="29"/>
      <c r="C66" s="47"/>
      <c r="D66" s="46"/>
      <c r="E66" s="67"/>
      <c r="F66" s="1099"/>
      <c r="G66" s="1100"/>
      <c r="H66" s="1106"/>
      <c r="I66" s="1107"/>
      <c r="J66" s="1055"/>
      <c r="K66" s="1055"/>
      <c r="L66" s="1055"/>
    </row>
    <row r="67" spans="1:12" ht="12.75">
      <c r="A67" s="29"/>
      <c r="B67" s="29"/>
      <c r="C67" s="47"/>
      <c r="D67" s="46"/>
      <c r="E67" s="67"/>
      <c r="F67" s="1099" t="s">
        <v>208</v>
      </c>
      <c r="G67" s="1100"/>
      <c r="H67" s="1100"/>
      <c r="I67" s="1107"/>
      <c r="J67" s="1055"/>
      <c r="K67" s="1055"/>
      <c r="L67" s="1055"/>
    </row>
    <row r="68" spans="1:12" ht="12.75">
      <c r="A68" s="29"/>
      <c r="B68" s="29"/>
      <c r="C68" s="47"/>
      <c r="D68" s="46"/>
      <c r="E68" s="67"/>
      <c r="F68" s="1099" t="s">
        <v>209</v>
      </c>
      <c r="G68" s="1100"/>
      <c r="H68" s="1100"/>
      <c r="I68" s="1107"/>
      <c r="J68" s="1055"/>
      <c r="K68" s="1055"/>
      <c r="L68" s="1055"/>
    </row>
    <row r="69" spans="1:12" ht="12.75">
      <c r="A69" s="29"/>
      <c r="B69" s="29"/>
      <c r="C69" s="47"/>
      <c r="D69" s="46"/>
      <c r="E69" s="67"/>
      <c r="F69" s="1099" t="s">
        <v>210</v>
      </c>
      <c r="G69" s="1100"/>
      <c r="H69" s="1100"/>
      <c r="I69" s="1107"/>
      <c r="J69" s="1055">
        <v>14500</v>
      </c>
      <c r="K69" s="1055">
        <v>11500</v>
      </c>
      <c r="L69" s="1055"/>
    </row>
    <row r="70" spans="1:12" ht="12.75">
      <c r="A70" s="29"/>
      <c r="B70" s="29"/>
      <c r="C70" s="47"/>
      <c r="D70" s="46"/>
      <c r="E70" s="67"/>
      <c r="F70" s="1099" t="s">
        <v>211</v>
      </c>
      <c r="G70" s="1100"/>
      <c r="H70" s="1106"/>
      <c r="I70" s="1107"/>
      <c r="J70" s="1055"/>
      <c r="K70" s="1055"/>
      <c r="L70" s="1055"/>
    </row>
    <row r="71" spans="1:12" ht="12.75">
      <c r="A71" s="29"/>
      <c r="B71" s="29"/>
      <c r="C71" s="47"/>
      <c r="D71" s="46"/>
      <c r="E71" s="67"/>
      <c r="F71" s="1099"/>
      <c r="G71" s="1100"/>
      <c r="H71" s="1106"/>
      <c r="I71" s="1107"/>
      <c r="J71" s="1055"/>
      <c r="K71" s="1055"/>
      <c r="L71" s="1055"/>
    </row>
    <row r="72" spans="1:12" ht="12.75">
      <c r="A72" s="29"/>
      <c r="B72" s="29"/>
      <c r="C72" s="47"/>
      <c r="D72" s="46"/>
      <c r="E72" s="67"/>
      <c r="F72" s="1099" t="s">
        <v>294</v>
      </c>
      <c r="G72" s="1100"/>
      <c r="H72" s="1106"/>
      <c r="I72" s="1107"/>
      <c r="J72" s="1055"/>
      <c r="K72" s="1055"/>
      <c r="L72" s="1055"/>
    </row>
    <row r="73" spans="1:12" ht="12.75">
      <c r="A73" s="29"/>
      <c r="B73" s="29"/>
      <c r="C73" s="47"/>
      <c r="D73" s="46"/>
      <c r="E73" s="67"/>
      <c r="F73" s="1099" t="s">
        <v>293</v>
      </c>
      <c r="G73" s="1100"/>
      <c r="H73" s="1100"/>
      <c r="I73" s="1101"/>
      <c r="J73" s="1055">
        <v>86892</v>
      </c>
      <c r="K73" s="1055">
        <v>92918</v>
      </c>
      <c r="L73" s="1055"/>
    </row>
    <row r="74" spans="1:12" ht="12.75">
      <c r="A74" s="29"/>
      <c r="B74" s="29"/>
      <c r="C74" s="47"/>
      <c r="D74" s="46"/>
      <c r="E74" s="67"/>
      <c r="F74" s="1099"/>
      <c r="G74" s="1100"/>
      <c r="H74" s="1100"/>
      <c r="I74" s="1101"/>
      <c r="J74" s="1055"/>
      <c r="K74" s="1055"/>
      <c r="L74" s="1055"/>
    </row>
    <row r="75" spans="1:12" ht="12.75">
      <c r="A75" s="29"/>
      <c r="B75" s="29"/>
      <c r="C75" s="47"/>
      <c r="D75" s="46"/>
      <c r="E75" s="67"/>
      <c r="F75" s="1099"/>
      <c r="G75" s="1100"/>
      <c r="H75" s="1106"/>
      <c r="I75" s="1107"/>
      <c r="J75" s="1055"/>
      <c r="K75" s="1055"/>
      <c r="L75" s="1055"/>
    </row>
    <row r="76" spans="1:12" ht="12.75">
      <c r="A76" s="29"/>
      <c r="B76" s="29"/>
      <c r="C76" s="47"/>
      <c r="D76" s="46"/>
      <c r="E76" s="67"/>
      <c r="F76" s="1099"/>
      <c r="G76" s="1100"/>
      <c r="H76" s="1106"/>
      <c r="I76" s="1107"/>
      <c r="J76" s="1055"/>
      <c r="K76" s="1055"/>
      <c r="L76" s="1055"/>
    </row>
    <row r="77" spans="1:12" ht="12.75">
      <c r="A77" s="29"/>
      <c r="B77" s="29"/>
      <c r="C77" s="47"/>
      <c r="D77" s="46"/>
      <c r="E77" s="67"/>
      <c r="F77" s="1099"/>
      <c r="G77" s="1100"/>
      <c r="H77" s="1106"/>
      <c r="I77" s="1107"/>
      <c r="J77" s="1055"/>
      <c r="K77" s="1055"/>
      <c r="L77" s="1055"/>
    </row>
    <row r="78" spans="1:12" ht="12.75">
      <c r="A78" s="29"/>
      <c r="B78" s="29"/>
      <c r="C78" s="47"/>
      <c r="D78" s="46"/>
      <c r="E78" s="67"/>
      <c r="F78" s="1099"/>
      <c r="G78" s="1100"/>
      <c r="H78" s="1106"/>
      <c r="I78" s="1107"/>
      <c r="J78" s="1055"/>
      <c r="K78" s="1055"/>
      <c r="L78" s="1055"/>
    </row>
    <row r="79" spans="1:12" ht="12.75">
      <c r="A79" s="30"/>
      <c r="B79" s="30"/>
      <c r="C79" s="365"/>
      <c r="D79" s="49"/>
      <c r="E79" s="304"/>
      <c r="F79" s="1108"/>
      <c r="G79" s="1109"/>
      <c r="H79" s="1110"/>
      <c r="I79" s="1111"/>
      <c r="J79" s="1112"/>
      <c r="K79" s="1112"/>
      <c r="L79" s="1112"/>
    </row>
    <row r="80" spans="1:12" ht="12.75">
      <c r="A80" s="354"/>
      <c r="B80" s="29"/>
      <c r="C80" s="275"/>
      <c r="D80" s="275"/>
      <c r="E80" s="22"/>
      <c r="F80" s="1887" t="s">
        <v>265</v>
      </c>
      <c r="G80" s="1888"/>
      <c r="H80" s="1113"/>
      <c r="I80" s="1114"/>
      <c r="J80" s="435" t="s">
        <v>264</v>
      </c>
      <c r="K80" s="436"/>
      <c r="L80" s="437"/>
    </row>
    <row r="81" spans="1:12" ht="12.75">
      <c r="A81" s="354" t="s">
        <v>261</v>
      </c>
      <c r="B81" s="354" t="s">
        <v>262</v>
      </c>
      <c r="C81" s="1871"/>
      <c r="D81" s="1871"/>
      <c r="E81" s="1258"/>
      <c r="F81" s="1486" t="s">
        <v>263</v>
      </c>
      <c r="G81" s="1528"/>
      <c r="H81" s="1115"/>
      <c r="I81" s="356"/>
      <c r="J81" s="401" t="s">
        <v>219</v>
      </c>
      <c r="K81" s="1871"/>
      <c r="L81" s="1485"/>
    </row>
    <row r="82" spans="1:12" ht="12.75">
      <c r="A82" s="1486" t="s">
        <v>301</v>
      </c>
      <c r="B82" s="1528"/>
      <c r="C82" s="1528"/>
      <c r="D82" s="1528"/>
      <c r="E82" s="1487"/>
      <c r="F82" s="1486"/>
      <c r="G82" s="1528"/>
      <c r="H82" s="1528"/>
      <c r="I82" s="1528"/>
      <c r="J82" s="1528"/>
      <c r="K82" s="1528"/>
      <c r="L82" s="1487"/>
    </row>
    <row r="83" spans="1:12" ht="12.75">
      <c r="A83" s="1102" t="s">
        <v>260</v>
      </c>
      <c r="B83" s="1102"/>
      <c r="C83" s="1155"/>
      <c r="D83" s="1155">
        <v>50000</v>
      </c>
      <c r="E83" s="1105"/>
      <c r="F83" s="258"/>
      <c r="G83" s="250"/>
      <c r="H83" s="250"/>
      <c r="I83" s="250"/>
      <c r="J83" s="1145"/>
      <c r="K83" s="285"/>
      <c r="L83" s="286"/>
    </row>
    <row r="84" spans="1:12" ht="12.75">
      <c r="A84" s="1099" t="s">
        <v>302</v>
      </c>
      <c r="B84" s="1099"/>
      <c r="C84" s="252"/>
      <c r="D84" s="252">
        <v>12800</v>
      </c>
      <c r="E84" s="1055"/>
      <c r="F84" s="2"/>
      <c r="G84" s="50"/>
      <c r="H84" s="50"/>
      <c r="I84" s="50"/>
      <c r="J84" s="50"/>
      <c r="K84" s="57"/>
      <c r="L84" s="58"/>
    </row>
    <row r="85" spans="1:12" ht="12.75">
      <c r="A85" s="1099"/>
      <c r="B85" s="1099"/>
      <c r="C85" s="252"/>
      <c r="D85" s="252"/>
      <c r="E85" s="1055"/>
      <c r="F85" s="1146"/>
      <c r="G85" s="1147"/>
      <c r="H85" s="1147"/>
      <c r="I85" s="1147"/>
      <c r="J85" s="1147"/>
      <c r="K85" s="1147"/>
      <c r="L85" s="1148"/>
    </row>
    <row r="86" spans="1:12" ht="12.75">
      <c r="A86" s="1099"/>
      <c r="B86" s="1099"/>
      <c r="C86" s="252"/>
      <c r="D86" s="252"/>
      <c r="E86" s="1055"/>
      <c r="F86" s="1146"/>
      <c r="G86" s="1147"/>
      <c r="H86" s="1147"/>
      <c r="I86" s="1147"/>
      <c r="J86" s="1147"/>
      <c r="K86" s="1147"/>
      <c r="L86" s="1148"/>
    </row>
    <row r="87" spans="1:12" ht="12.75">
      <c r="A87" s="1099"/>
      <c r="B87" s="1099"/>
      <c r="C87" s="252"/>
      <c r="D87" s="252"/>
      <c r="E87" s="1055"/>
      <c r="F87" s="1146"/>
      <c r="G87" s="1147"/>
      <c r="H87" s="1147"/>
      <c r="I87" s="1147"/>
      <c r="J87" s="1149"/>
      <c r="K87" s="1149"/>
      <c r="L87" s="1150"/>
    </row>
    <row r="88" spans="1:12" ht="12.75">
      <c r="A88" s="1099"/>
      <c r="B88" s="1099"/>
      <c r="C88" s="252"/>
      <c r="D88" s="252"/>
      <c r="E88" s="1055"/>
      <c r="F88" s="1146"/>
      <c r="G88" s="1147"/>
      <c r="H88" s="1147"/>
      <c r="I88" s="1147"/>
      <c r="J88" s="1149"/>
      <c r="K88" s="1149"/>
      <c r="L88" s="1150"/>
    </row>
    <row r="89" spans="1:12" ht="12.75">
      <c r="A89" s="1099"/>
      <c r="B89" s="1099"/>
      <c r="C89" s="252"/>
      <c r="D89" s="252"/>
      <c r="E89" s="1055"/>
      <c r="F89" s="1146"/>
      <c r="G89" s="1147"/>
      <c r="H89" s="1147"/>
      <c r="I89" s="1147"/>
      <c r="J89" s="1149"/>
      <c r="K89" s="1149"/>
      <c r="L89" s="1150"/>
    </row>
    <row r="90" spans="1:12" ht="12.75">
      <c r="A90" s="1099"/>
      <c r="B90" s="1099"/>
      <c r="C90" s="252"/>
      <c r="D90" s="252"/>
      <c r="E90" s="1055"/>
      <c r="F90" s="1146"/>
      <c r="G90" s="1147"/>
      <c r="H90" s="1147"/>
      <c r="I90" s="1147"/>
      <c r="J90" s="1149"/>
      <c r="K90" s="1149"/>
      <c r="L90" s="1150"/>
    </row>
    <row r="91" spans="1:12" ht="12.75">
      <c r="A91" s="1099"/>
      <c r="B91" s="1099"/>
      <c r="C91" s="252"/>
      <c r="D91" s="252"/>
      <c r="E91" s="1055"/>
      <c r="F91" s="1146"/>
      <c r="G91" s="1147"/>
      <c r="H91" s="1147"/>
      <c r="I91" s="1147"/>
      <c r="J91" s="1149"/>
      <c r="K91" s="1149"/>
      <c r="L91" s="1150"/>
    </row>
    <row r="92" spans="1:12" ht="12.75">
      <c r="A92" s="1099"/>
      <c r="B92" s="1099"/>
      <c r="C92" s="252"/>
      <c r="D92" s="252"/>
      <c r="E92" s="1055"/>
      <c r="F92" s="1146"/>
      <c r="G92" s="1147"/>
      <c r="H92" s="1147"/>
      <c r="I92" s="1147"/>
      <c r="J92" s="1149"/>
      <c r="K92" s="1149"/>
      <c r="L92" s="1150"/>
    </row>
    <row r="93" spans="1:12" ht="12.75">
      <c r="A93" s="1099"/>
      <c r="B93" s="1099"/>
      <c r="C93" s="252"/>
      <c r="D93" s="252"/>
      <c r="E93" s="1055"/>
      <c r="F93" s="1146"/>
      <c r="G93" s="1147"/>
      <c r="H93" s="1147"/>
      <c r="I93" s="1147"/>
      <c r="J93" s="1149"/>
      <c r="K93" s="1149"/>
      <c r="L93" s="1150"/>
    </row>
    <row r="94" spans="1:12" ht="12.75">
      <c r="A94" s="1099"/>
      <c r="B94" s="1099"/>
      <c r="C94" s="252"/>
      <c r="D94" s="252"/>
      <c r="E94" s="1055"/>
      <c r="F94" s="1146"/>
      <c r="G94" s="1147"/>
      <c r="H94" s="1147"/>
      <c r="I94" s="1147"/>
      <c r="J94" s="1149"/>
      <c r="K94" s="1149"/>
      <c r="L94" s="1150"/>
    </row>
    <row r="95" spans="1:12" ht="12.75">
      <c r="A95" s="1099"/>
      <c r="B95" s="1099"/>
      <c r="C95" s="252"/>
      <c r="D95" s="252"/>
      <c r="E95" s="1055"/>
      <c r="F95" s="1146"/>
      <c r="G95" s="1147"/>
      <c r="H95" s="1147"/>
      <c r="I95" s="1147"/>
      <c r="J95" s="1149"/>
      <c r="K95" s="1149"/>
      <c r="L95" s="1150"/>
    </row>
    <row r="96" spans="1:12" ht="12.75">
      <c r="A96" s="1099"/>
      <c r="B96" s="1099"/>
      <c r="C96" s="252"/>
      <c r="D96" s="252"/>
      <c r="E96" s="1055"/>
      <c r="F96" s="1146"/>
      <c r="G96" s="1147"/>
      <c r="H96" s="1147"/>
      <c r="I96" s="1147"/>
      <c r="J96" s="1149"/>
      <c r="K96" s="1149"/>
      <c r="L96" s="1150"/>
    </row>
    <row r="97" spans="1:12" ht="12.75">
      <c r="A97" s="1099"/>
      <c r="B97" s="1099"/>
      <c r="C97" s="252"/>
      <c r="D97" s="252"/>
      <c r="E97" s="1055"/>
      <c r="F97" s="1146"/>
      <c r="G97" s="1147"/>
      <c r="H97" s="1147"/>
      <c r="I97" s="1147"/>
      <c r="J97" s="1149"/>
      <c r="K97" s="1149"/>
      <c r="L97" s="1150"/>
    </row>
    <row r="98" spans="1:12" ht="12.75">
      <c r="A98" s="1099"/>
      <c r="B98" s="1099"/>
      <c r="C98" s="252"/>
      <c r="D98" s="252"/>
      <c r="E98" s="1055"/>
      <c r="F98" s="1146"/>
      <c r="G98" s="1147"/>
      <c r="H98" s="1147"/>
      <c r="I98" s="1147"/>
      <c r="J98" s="1149"/>
      <c r="K98" s="1149"/>
      <c r="L98" s="1150"/>
    </row>
    <row r="99" spans="1:12" ht="12.75">
      <c r="A99" s="1099"/>
      <c r="B99" s="1099"/>
      <c r="C99" s="252"/>
      <c r="D99" s="252"/>
      <c r="E99" s="1055"/>
      <c r="F99" s="1146"/>
      <c r="G99" s="1147"/>
      <c r="H99" s="1147"/>
      <c r="I99" s="1147"/>
      <c r="J99" s="1149"/>
      <c r="K99" s="1149"/>
      <c r="L99" s="1150"/>
    </row>
    <row r="100" spans="1:12" ht="12.75">
      <c r="A100" s="1099"/>
      <c r="B100" s="1099"/>
      <c r="C100" s="252"/>
      <c r="D100" s="252"/>
      <c r="E100" s="1055"/>
      <c r="F100" s="1146"/>
      <c r="G100" s="1147"/>
      <c r="H100" s="1147"/>
      <c r="I100" s="1147"/>
      <c r="J100" s="1149"/>
      <c r="K100" s="1149"/>
      <c r="L100" s="1150"/>
    </row>
    <row r="101" spans="1:12" ht="12.75">
      <c r="A101" s="1099"/>
      <c r="B101" s="1099"/>
      <c r="C101" s="252"/>
      <c r="D101" s="252"/>
      <c r="E101" s="1055"/>
      <c r="F101" s="1146"/>
      <c r="G101" s="1147"/>
      <c r="H101" s="1147"/>
      <c r="I101" s="1147"/>
      <c r="J101" s="1149"/>
      <c r="K101" s="1149"/>
      <c r="L101" s="1150"/>
    </row>
    <row r="102" spans="1:12" ht="12.75">
      <c r="A102" s="1146"/>
      <c r="B102" s="1146"/>
      <c r="C102" s="1147"/>
      <c r="D102" s="1147"/>
      <c r="E102" s="1156"/>
      <c r="F102" s="1146"/>
      <c r="G102" s="1147"/>
      <c r="H102" s="1147"/>
      <c r="I102" s="1147"/>
      <c r="J102" s="1149"/>
      <c r="K102" s="1149"/>
      <c r="L102" s="1150"/>
    </row>
    <row r="103" spans="1:12" ht="12.75">
      <c r="A103" s="1146"/>
      <c r="B103" s="1146"/>
      <c r="C103" s="1147"/>
      <c r="D103" s="1147"/>
      <c r="E103" s="1156"/>
      <c r="F103" s="1146"/>
      <c r="G103" s="1147"/>
      <c r="H103" s="1147"/>
      <c r="I103" s="1147"/>
      <c r="J103" s="1149"/>
      <c r="K103" s="1149"/>
      <c r="L103" s="1150"/>
    </row>
    <row r="104" spans="1:12" ht="12.75">
      <c r="A104" s="1146"/>
      <c r="B104" s="1146"/>
      <c r="C104" s="1147"/>
      <c r="D104" s="1147"/>
      <c r="E104" s="1156"/>
      <c r="F104" s="1146"/>
      <c r="G104" s="1147"/>
      <c r="H104" s="1147"/>
      <c r="I104" s="1147"/>
      <c r="J104" s="1149"/>
      <c r="K104" s="1149"/>
      <c r="L104" s="1150"/>
    </row>
    <row r="105" spans="1:12" ht="12.75">
      <c r="A105" s="1146"/>
      <c r="B105" s="1146"/>
      <c r="C105" s="1147"/>
      <c r="D105" s="1147"/>
      <c r="E105" s="1156"/>
      <c r="F105" s="1146"/>
      <c r="G105" s="1147"/>
      <c r="H105" s="1147"/>
      <c r="I105" s="1147"/>
      <c r="J105" s="1149"/>
      <c r="K105" s="1149"/>
      <c r="L105" s="1150"/>
    </row>
    <row r="106" spans="1:12" ht="12.75">
      <c r="A106" s="1146"/>
      <c r="B106" s="1146"/>
      <c r="C106" s="1147"/>
      <c r="D106" s="1147"/>
      <c r="E106" s="1156"/>
      <c r="F106" s="1146"/>
      <c r="G106" s="1147"/>
      <c r="H106" s="1147"/>
      <c r="I106" s="1147"/>
      <c r="J106" s="1149"/>
      <c r="K106" s="1149"/>
      <c r="L106" s="1150"/>
    </row>
    <row r="107" spans="1:12" ht="12.75">
      <c r="A107" s="1146"/>
      <c r="B107" s="1146"/>
      <c r="C107" s="1147"/>
      <c r="D107" s="1147"/>
      <c r="E107" s="1156"/>
      <c r="F107" s="1146"/>
      <c r="G107" s="1147"/>
      <c r="H107" s="1147"/>
      <c r="I107" s="1147"/>
      <c r="J107" s="1149"/>
      <c r="K107" s="1149"/>
      <c r="L107" s="1150"/>
    </row>
    <row r="108" spans="1:12" ht="12.75">
      <c r="A108" s="1146"/>
      <c r="B108" s="1146"/>
      <c r="C108" s="1147"/>
      <c r="D108" s="1147"/>
      <c r="E108" s="1156"/>
      <c r="F108" s="1146"/>
      <c r="G108" s="1147"/>
      <c r="H108" s="1147"/>
      <c r="I108" s="1147"/>
      <c r="J108" s="1149"/>
      <c r="K108" s="1149"/>
      <c r="L108" s="1150"/>
    </row>
    <row r="109" spans="1:12" ht="12.75">
      <c r="A109" s="1146"/>
      <c r="B109" s="1146"/>
      <c r="C109" s="1147"/>
      <c r="D109" s="1147"/>
      <c r="E109" s="1156"/>
      <c r="F109" s="1146"/>
      <c r="G109" s="1147"/>
      <c r="H109" s="1147"/>
      <c r="I109" s="1147"/>
      <c r="J109" s="1149"/>
      <c r="K109" s="1149"/>
      <c r="L109" s="1150"/>
    </row>
    <row r="110" spans="1:12" ht="12.75">
      <c r="A110" s="1146"/>
      <c r="B110" s="1146"/>
      <c r="C110" s="1147"/>
      <c r="D110" s="1147"/>
      <c r="E110" s="1156"/>
      <c r="F110" s="1146"/>
      <c r="G110" s="1147"/>
      <c r="H110" s="1147"/>
      <c r="I110" s="1147"/>
      <c r="J110" s="1149"/>
      <c r="K110" s="1149"/>
      <c r="L110" s="1150"/>
    </row>
    <row r="111" spans="1:12" ht="12.75">
      <c r="A111" s="1146"/>
      <c r="B111" s="1146"/>
      <c r="C111" s="1147"/>
      <c r="D111" s="1147"/>
      <c r="E111" s="1156"/>
      <c r="F111" s="1146"/>
      <c r="G111" s="1147"/>
      <c r="H111" s="1147"/>
      <c r="I111" s="1147"/>
      <c r="J111" s="1149"/>
      <c r="K111" s="1149"/>
      <c r="L111" s="1150"/>
    </row>
    <row r="112" spans="1:12" ht="12.75">
      <c r="A112" s="1146"/>
      <c r="B112" s="1146"/>
      <c r="C112" s="1147"/>
      <c r="D112" s="1147"/>
      <c r="E112" s="1156"/>
      <c r="F112" s="1146"/>
      <c r="G112" s="1147"/>
      <c r="H112" s="1147"/>
      <c r="I112" s="1147"/>
      <c r="J112" s="1149"/>
      <c r="K112" s="1149"/>
      <c r="L112" s="1150"/>
    </row>
    <row r="113" spans="1:12" ht="12.75">
      <c r="A113" s="1146"/>
      <c r="B113" s="1146"/>
      <c r="C113" s="1147"/>
      <c r="D113" s="1147"/>
      <c r="E113" s="1156"/>
      <c r="F113" s="1146"/>
      <c r="G113" s="1147"/>
      <c r="H113" s="1147"/>
      <c r="I113" s="1147"/>
      <c r="J113" s="1149"/>
      <c r="K113" s="1149"/>
      <c r="L113" s="1150"/>
    </row>
    <row r="114" spans="1:12" ht="12.75">
      <c r="A114" s="1146"/>
      <c r="B114" s="1146"/>
      <c r="C114" s="1147"/>
      <c r="D114" s="1147"/>
      <c r="E114" s="1156"/>
      <c r="F114" s="1146"/>
      <c r="G114" s="1147"/>
      <c r="H114" s="1147"/>
      <c r="I114" s="1147"/>
      <c r="J114" s="1149"/>
      <c r="K114" s="1149"/>
      <c r="L114" s="1150"/>
    </row>
    <row r="115" spans="1:12" ht="12.75">
      <c r="A115" s="1146"/>
      <c r="B115" s="1146"/>
      <c r="C115" s="1147"/>
      <c r="D115" s="1147"/>
      <c r="E115" s="1156"/>
      <c r="F115" s="1146"/>
      <c r="G115" s="1147"/>
      <c r="H115" s="1147"/>
      <c r="I115" s="1147"/>
      <c r="J115" s="1149"/>
      <c r="K115" s="1149"/>
      <c r="L115" s="1150"/>
    </row>
    <row r="116" spans="1:12" ht="12.75">
      <c r="A116" s="1146"/>
      <c r="B116" s="1146"/>
      <c r="C116" s="1147"/>
      <c r="D116" s="1147"/>
      <c r="E116" s="1156"/>
      <c r="F116" s="1146"/>
      <c r="G116" s="1147"/>
      <c r="H116" s="1147"/>
      <c r="I116" s="1147"/>
      <c r="J116" s="1149"/>
      <c r="K116" s="1149"/>
      <c r="L116" s="1150"/>
    </row>
    <row r="117" spans="1:12" ht="12.75">
      <c r="A117" s="1151"/>
      <c r="B117" s="1151"/>
      <c r="C117" s="1152"/>
      <c r="D117" s="1152"/>
      <c r="E117" s="1157"/>
      <c r="F117" s="1151"/>
      <c r="G117" s="1152"/>
      <c r="H117" s="1152"/>
      <c r="I117" s="1152"/>
      <c r="J117" s="1153"/>
      <c r="K117" s="1153"/>
      <c r="L117" s="1154"/>
    </row>
    <row r="118" spans="1:12" ht="12.75">
      <c r="A118" s="8"/>
      <c r="B118" s="8"/>
      <c r="C118" s="8"/>
      <c r="D118" s="8"/>
      <c r="E118" s="8"/>
      <c r="F118" s="8"/>
      <c r="G118" s="8"/>
      <c r="H118" s="8"/>
      <c r="I118" s="8"/>
      <c r="J118" s="47"/>
      <c r="K118" s="47"/>
      <c r="L118" s="47"/>
    </row>
    <row r="119" spans="1:12" ht="12.75">
      <c r="A119" s="8"/>
      <c r="B119" s="8"/>
      <c r="C119" s="8"/>
      <c r="D119" s="8"/>
      <c r="E119" s="8"/>
      <c r="F119" s="8"/>
      <c r="G119" s="8"/>
      <c r="H119" s="8"/>
      <c r="I119" s="8"/>
      <c r="J119" s="47"/>
      <c r="K119" s="47"/>
      <c r="L119" s="47"/>
    </row>
    <row r="120" spans="1:12" ht="12.75">
      <c r="A120" s="8"/>
      <c r="B120" s="8"/>
      <c r="C120" s="8"/>
      <c r="D120" s="8"/>
      <c r="E120" s="8"/>
      <c r="F120" s="8"/>
      <c r="G120" s="8"/>
      <c r="H120" s="8"/>
      <c r="I120" s="8"/>
      <c r="J120" s="47"/>
      <c r="K120" s="47"/>
      <c r="L120" s="47"/>
    </row>
    <row r="121" spans="1:12" ht="12.75">
      <c r="A121" s="8"/>
      <c r="B121" s="8"/>
      <c r="C121" s="8"/>
      <c r="D121" s="8"/>
      <c r="E121" s="8"/>
      <c r="F121" s="8"/>
      <c r="G121" s="8"/>
      <c r="H121" s="8"/>
      <c r="I121" s="8"/>
      <c r="J121" s="47"/>
      <c r="K121" s="47"/>
      <c r="L121" s="47"/>
    </row>
    <row r="122" spans="1:12" ht="12.75">
      <c r="A122" s="8"/>
      <c r="B122" s="8"/>
      <c r="C122" s="8"/>
      <c r="D122" s="8"/>
      <c r="E122" s="8"/>
      <c r="F122" s="8"/>
      <c r="G122" s="8"/>
      <c r="H122" s="8"/>
      <c r="I122" s="8"/>
      <c r="J122" s="47"/>
      <c r="K122" s="47"/>
      <c r="L122" s="47"/>
    </row>
    <row r="123" spans="1:12" ht="12.75">
      <c r="A123" s="8"/>
      <c r="B123" s="8"/>
      <c r="C123" s="8"/>
      <c r="D123" s="8"/>
      <c r="E123" s="8"/>
      <c r="F123" s="8"/>
      <c r="G123" s="8"/>
      <c r="H123" s="8"/>
      <c r="I123" s="8"/>
      <c r="J123" s="47"/>
      <c r="K123" s="47"/>
      <c r="L123" s="47"/>
    </row>
    <row r="124" spans="1:12" ht="12.75">
      <c r="A124" s="8"/>
      <c r="B124" s="8"/>
      <c r="C124" s="8"/>
      <c r="D124" s="8"/>
      <c r="E124" s="8"/>
      <c r="F124" s="8"/>
      <c r="G124" s="8"/>
      <c r="H124" s="8"/>
      <c r="I124" s="8"/>
      <c r="J124" s="47"/>
      <c r="K124" s="47"/>
      <c r="L124" s="47"/>
    </row>
    <row r="125" spans="1:12" ht="12.75">
      <c r="A125" s="8"/>
      <c r="B125" s="8"/>
      <c r="C125" s="8"/>
      <c r="D125" s="8"/>
      <c r="E125" s="8"/>
      <c r="F125" s="8"/>
      <c r="G125" s="8"/>
      <c r="H125" s="8"/>
      <c r="I125" s="8"/>
      <c r="J125" s="47"/>
      <c r="K125" s="47"/>
      <c r="L125" s="47"/>
    </row>
    <row r="126" spans="1:12" ht="12.75">
      <c r="A126" s="8"/>
      <c r="B126" s="8"/>
      <c r="C126" s="8"/>
      <c r="D126" s="8"/>
      <c r="E126" s="8"/>
      <c r="F126" s="8"/>
      <c r="G126" s="8"/>
      <c r="H126" s="8"/>
      <c r="I126" s="8"/>
      <c r="J126" s="47"/>
      <c r="K126" s="47"/>
      <c r="L126" s="47"/>
    </row>
    <row r="127" spans="1:12" ht="12.75">
      <c r="A127" s="8"/>
      <c r="B127" s="8"/>
      <c r="C127" s="8"/>
      <c r="D127" s="8"/>
      <c r="E127" s="8"/>
      <c r="F127" s="8"/>
      <c r="G127" s="8"/>
      <c r="H127" s="8"/>
      <c r="I127" s="8"/>
      <c r="J127" s="47"/>
      <c r="K127" s="47"/>
      <c r="L127" s="47"/>
    </row>
    <row r="128" spans="1:12" ht="12.75">
      <c r="A128" s="8"/>
      <c r="B128" s="8"/>
      <c r="C128" s="8"/>
      <c r="D128" s="8"/>
      <c r="E128" s="8"/>
      <c r="F128" s="8"/>
      <c r="G128" s="8"/>
      <c r="H128" s="8"/>
      <c r="I128" s="8"/>
      <c r="J128" s="47"/>
      <c r="K128" s="47"/>
      <c r="L128" s="47"/>
    </row>
    <row r="129" spans="1:12" ht="12.75">
      <c r="A129" s="8"/>
      <c r="B129" s="8"/>
      <c r="C129" s="8"/>
      <c r="D129" s="8"/>
      <c r="E129" s="8"/>
      <c r="F129" s="8"/>
      <c r="G129" s="8"/>
      <c r="H129" s="8"/>
      <c r="I129" s="8"/>
      <c r="J129" s="47"/>
      <c r="K129" s="47"/>
      <c r="L129" s="47"/>
    </row>
    <row r="130" spans="1:12" ht="12.75">
      <c r="A130" s="8"/>
      <c r="B130" s="8"/>
      <c r="C130" s="8"/>
      <c r="D130" s="8"/>
      <c r="E130" s="8"/>
      <c r="F130" s="8"/>
      <c r="G130" s="8"/>
      <c r="H130" s="8"/>
      <c r="I130" s="8"/>
      <c r="J130" s="47"/>
      <c r="K130" s="47"/>
      <c r="L130" s="47"/>
    </row>
    <row r="131" spans="1:12" ht="12.75">
      <c r="A131" s="8"/>
      <c r="B131" s="8"/>
      <c r="C131" s="8"/>
      <c r="D131" s="8"/>
      <c r="E131" s="8"/>
      <c r="F131" s="8"/>
      <c r="G131" s="8"/>
      <c r="H131" s="8"/>
      <c r="I131" s="8"/>
      <c r="J131" s="47"/>
      <c r="K131" s="47"/>
      <c r="L131" s="47"/>
    </row>
    <row r="132" spans="1:12" ht="12.75">
      <c r="A132" s="8"/>
      <c r="B132" s="8"/>
      <c r="C132" s="8"/>
      <c r="D132" s="8"/>
      <c r="E132" s="8"/>
      <c r="F132" s="8"/>
      <c r="G132" s="8"/>
      <c r="H132" s="8"/>
      <c r="I132" s="8"/>
      <c r="J132" s="47"/>
      <c r="K132" s="47"/>
      <c r="L132" s="47"/>
    </row>
    <row r="133" spans="1:12" ht="12.75">
      <c r="A133" s="8"/>
      <c r="B133" s="8"/>
      <c r="C133" s="8"/>
      <c r="D133" s="8"/>
      <c r="E133" s="8"/>
      <c r="F133" s="8"/>
      <c r="G133" s="8"/>
      <c r="H133" s="8"/>
      <c r="I133" s="8"/>
      <c r="J133" s="47"/>
      <c r="K133" s="47"/>
      <c r="L133" s="47"/>
    </row>
    <row r="134" spans="1:12" ht="12.75">
      <c r="A134" s="8"/>
      <c r="B134" s="8"/>
      <c r="C134" s="8"/>
      <c r="D134" s="8"/>
      <c r="E134" s="8"/>
      <c r="F134" s="8"/>
      <c r="G134" s="8"/>
      <c r="H134" s="8"/>
      <c r="I134" s="8"/>
      <c r="J134" s="47"/>
      <c r="K134" s="47"/>
      <c r="L134" s="47"/>
    </row>
    <row r="135" spans="1:12" ht="12.75">
      <c r="A135" s="8"/>
      <c r="B135" s="8"/>
      <c r="C135" s="8"/>
      <c r="D135" s="8"/>
      <c r="E135" s="8"/>
      <c r="F135" s="8"/>
      <c r="G135" s="8"/>
      <c r="H135" s="8"/>
      <c r="I135" s="8"/>
      <c r="J135" s="47"/>
      <c r="K135" s="47"/>
      <c r="L135" s="47"/>
    </row>
    <row r="136" spans="1:12" ht="12.75">
      <c r="A136" s="8"/>
      <c r="B136" s="8"/>
      <c r="C136" s="8"/>
      <c r="D136" s="8"/>
      <c r="E136" s="8"/>
      <c r="F136" s="8"/>
      <c r="G136" s="8"/>
      <c r="H136" s="8"/>
      <c r="I136" s="8"/>
      <c r="J136" s="47"/>
      <c r="K136" s="47"/>
      <c r="L136" s="47"/>
    </row>
    <row r="137" spans="1:12" ht="12.75">
      <c r="A137" s="8"/>
      <c r="B137" s="8"/>
      <c r="C137" s="8"/>
      <c r="D137" s="8"/>
      <c r="E137" s="8"/>
      <c r="F137" s="8"/>
      <c r="G137" s="8"/>
      <c r="H137" s="8"/>
      <c r="I137" s="8"/>
      <c r="J137" s="47"/>
      <c r="K137" s="47"/>
      <c r="L137" s="47"/>
    </row>
    <row r="138" spans="1:12" ht="12.75">
      <c r="A138" s="8"/>
      <c r="B138" s="8"/>
      <c r="C138" s="8"/>
      <c r="D138" s="8"/>
      <c r="E138" s="8"/>
      <c r="F138" s="8"/>
      <c r="G138" s="8"/>
      <c r="H138" s="8"/>
      <c r="I138" s="8"/>
      <c r="J138" s="47"/>
      <c r="K138" s="47"/>
      <c r="L138" s="47"/>
    </row>
    <row r="139" spans="1:12" ht="12.75">
      <c r="A139" s="8"/>
      <c r="B139" s="8"/>
      <c r="C139" s="8"/>
      <c r="D139" s="8"/>
      <c r="E139" s="8"/>
      <c r="F139" s="8"/>
      <c r="G139" s="8"/>
      <c r="H139" s="8"/>
      <c r="I139" s="8"/>
      <c r="J139" s="47"/>
      <c r="K139" s="47"/>
      <c r="L139" s="47"/>
    </row>
    <row r="140" spans="1:12" ht="12.75">
      <c r="A140" s="8"/>
      <c r="B140" s="8"/>
      <c r="C140" s="8"/>
      <c r="D140" s="8"/>
      <c r="E140" s="8"/>
      <c r="F140" s="8"/>
      <c r="G140" s="8"/>
      <c r="H140" s="8"/>
      <c r="I140" s="8"/>
      <c r="J140" s="47"/>
      <c r="K140" s="47"/>
      <c r="L140" s="47"/>
    </row>
    <row r="141" spans="1:12" ht="12.75">
      <c r="A141" s="8"/>
      <c r="B141" s="8"/>
      <c r="C141" s="8"/>
      <c r="D141" s="8"/>
      <c r="E141" s="8"/>
      <c r="F141" s="8"/>
      <c r="G141" s="8"/>
      <c r="H141" s="8"/>
      <c r="I141" s="8"/>
      <c r="J141" s="47"/>
      <c r="K141" s="47"/>
      <c r="L141" s="47"/>
    </row>
    <row r="142" spans="1:12" ht="12.75">
      <c r="A142" s="8"/>
      <c r="B142" s="8"/>
      <c r="C142" s="8"/>
      <c r="D142" s="8"/>
      <c r="E142" s="8"/>
      <c r="F142" s="8"/>
      <c r="G142" s="8"/>
      <c r="H142" s="8"/>
      <c r="I142" s="8"/>
      <c r="J142" s="47"/>
      <c r="K142" s="47"/>
      <c r="L142" s="47"/>
    </row>
    <row r="143" spans="1:12" ht="12.75">
      <c r="A143" s="8"/>
      <c r="B143" s="8"/>
      <c r="C143" s="8"/>
      <c r="D143" s="8"/>
      <c r="E143" s="8"/>
      <c r="F143" s="8"/>
      <c r="G143" s="8"/>
      <c r="H143" s="8"/>
      <c r="I143" s="8"/>
      <c r="J143" s="47"/>
      <c r="K143" s="47"/>
      <c r="L143" s="47"/>
    </row>
  </sheetData>
  <sheetProtection selectLockedCells="1"/>
  <mergeCells count="24">
    <mergeCell ref="A1:L1"/>
    <mergeCell ref="F18:I18"/>
    <mergeCell ref="F16:I16"/>
    <mergeCell ref="F14:I14"/>
    <mergeCell ref="F8:I8"/>
    <mergeCell ref="B3:D3"/>
    <mergeCell ref="A2:E2"/>
    <mergeCell ref="F2:L2"/>
    <mergeCell ref="A82:E82"/>
    <mergeCell ref="F82:L82"/>
    <mergeCell ref="K81:L81"/>
    <mergeCell ref="C81:D81"/>
    <mergeCell ref="F80:G80"/>
    <mergeCell ref="F60:L60"/>
    <mergeCell ref="F15:I15"/>
    <mergeCell ref="A60:E60"/>
    <mergeCell ref="F23:I23"/>
    <mergeCell ref="A32:E32"/>
    <mergeCell ref="F3:J3"/>
    <mergeCell ref="F81:G81"/>
    <mergeCell ref="F24:I24"/>
    <mergeCell ref="F29:I29"/>
    <mergeCell ref="F4:K4"/>
    <mergeCell ref="F32:K32"/>
  </mergeCells>
  <printOptions/>
  <pageMargins left="0.1968503937007874" right="0" top="0.7874015748031497" bottom="0.5905511811023623" header="0.5118110236220472" footer="0.5118110236220472"/>
  <pageSetup orientation="portrait" pageOrder="overThenDown" paperSize="9" r:id="rId3"/>
  <drawing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23"/>
  <dimension ref="B2:J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28125" style="38" customWidth="1"/>
    <col min="2" max="2" width="3.00390625" style="38" customWidth="1"/>
    <col min="3" max="3" width="38.8515625" style="38" customWidth="1"/>
    <col min="4" max="7" width="13.421875" style="38" customWidth="1"/>
    <col min="8" max="9" width="11.421875" style="38" customWidth="1"/>
    <col min="10" max="10" width="6.140625" style="38" customWidth="1"/>
    <col min="11" max="11" width="11.7109375" style="38" bestFit="1" customWidth="1"/>
    <col min="12" max="16384" width="11.421875" style="38" customWidth="1"/>
  </cols>
  <sheetData>
    <row r="2" spans="2:10" ht="12.75">
      <c r="B2" s="265"/>
      <c r="C2" s="210"/>
      <c r="D2" s="210"/>
      <c r="E2" s="210"/>
      <c r="F2" s="210"/>
      <c r="G2" s="210"/>
      <c r="H2" s="210"/>
      <c r="I2" s="210"/>
      <c r="J2" s="264"/>
    </row>
    <row r="3" spans="2:10" ht="12.75">
      <c r="B3" s="918"/>
      <c r="C3" s="1905" t="s">
        <v>730</v>
      </c>
      <c r="D3" s="1905"/>
      <c r="E3" s="1905"/>
      <c r="F3" s="1905"/>
      <c r="G3" s="1905"/>
      <c r="H3" s="1905"/>
      <c r="I3" s="1905"/>
      <c r="J3" s="245"/>
    </row>
    <row r="4" spans="2:10" s="916" customFormat="1" ht="34.5" customHeight="1">
      <c r="B4" s="919"/>
      <c r="C4" s="917" t="s">
        <v>778</v>
      </c>
      <c r="D4" s="1907" t="s">
        <v>731</v>
      </c>
      <c r="E4" s="1907"/>
      <c r="F4" s="1907" t="s">
        <v>732</v>
      </c>
      <c r="G4" s="1907"/>
      <c r="H4" s="1908" t="s">
        <v>733</v>
      </c>
      <c r="I4" s="1908"/>
      <c r="J4" s="920"/>
    </row>
    <row r="5" spans="2:10" s="911" customFormat="1" ht="12.75">
      <c r="B5" s="216"/>
      <c r="C5" s="501"/>
      <c r="D5" s="501" t="s">
        <v>736</v>
      </c>
      <c r="E5" s="501" t="s">
        <v>737</v>
      </c>
      <c r="F5" s="501" t="s">
        <v>736</v>
      </c>
      <c r="G5" s="501" t="s">
        <v>737</v>
      </c>
      <c r="H5" s="501" t="s">
        <v>736</v>
      </c>
      <c r="I5" s="501" t="s">
        <v>737</v>
      </c>
      <c r="J5" s="146"/>
    </row>
    <row r="6" spans="2:10" ht="12.75">
      <c r="B6" s="209"/>
      <c r="C6" s="39" t="s">
        <v>734</v>
      </c>
      <c r="D6" s="39">
        <v>7300</v>
      </c>
      <c r="E6" s="39">
        <v>0</v>
      </c>
      <c r="F6" s="39">
        <v>12700</v>
      </c>
      <c r="G6" s="39">
        <v>0</v>
      </c>
      <c r="H6" s="39">
        <v>10270</v>
      </c>
      <c r="I6" s="39">
        <v>4710</v>
      </c>
      <c r="J6" s="40"/>
    </row>
    <row r="7" spans="2:10" ht="12.75">
      <c r="B7" s="209"/>
      <c r="C7" s="39" t="s">
        <v>735</v>
      </c>
      <c r="D7" s="39">
        <v>124500</v>
      </c>
      <c r="E7" s="39">
        <v>258020</v>
      </c>
      <c r="F7" s="39">
        <v>10413</v>
      </c>
      <c r="G7" s="39">
        <v>10487</v>
      </c>
      <c r="H7" s="39">
        <v>7900</v>
      </c>
      <c r="I7" s="39">
        <v>16970</v>
      </c>
      <c r="J7" s="40"/>
    </row>
    <row r="8" spans="2:10" ht="12.75">
      <c r="B8" s="209"/>
      <c r="C8" s="39" t="s">
        <v>738</v>
      </c>
      <c r="D8" s="39">
        <v>181000</v>
      </c>
      <c r="E8" s="39">
        <v>72027</v>
      </c>
      <c r="F8" s="39">
        <v>17048</v>
      </c>
      <c r="G8" s="39">
        <v>4262</v>
      </c>
      <c r="H8" s="39">
        <v>25200</v>
      </c>
      <c r="I8" s="39">
        <v>6300</v>
      </c>
      <c r="J8" s="40"/>
    </row>
    <row r="9" spans="2:10" ht="12.75">
      <c r="B9" s="209"/>
      <c r="C9" s="39" t="s">
        <v>1197</v>
      </c>
      <c r="D9" s="39">
        <v>2121035</v>
      </c>
      <c r="E9" s="39">
        <v>1310150</v>
      </c>
      <c r="F9" s="39">
        <v>92960</v>
      </c>
      <c r="G9" s="39">
        <v>39840</v>
      </c>
      <c r="H9" s="39">
        <v>0</v>
      </c>
      <c r="I9" s="39">
        <v>462500</v>
      </c>
      <c r="J9" s="40"/>
    </row>
    <row r="10" spans="2:10" ht="12.75">
      <c r="B10" s="209"/>
      <c r="C10" s="39" t="s">
        <v>739</v>
      </c>
      <c r="D10" s="39">
        <v>0</v>
      </c>
      <c r="E10" s="39">
        <v>82720</v>
      </c>
      <c r="F10" s="39">
        <v>0</v>
      </c>
      <c r="G10" s="39">
        <v>34210</v>
      </c>
      <c r="H10" s="39">
        <v>0</v>
      </c>
      <c r="I10" s="39">
        <v>20830</v>
      </c>
      <c r="J10" s="40"/>
    </row>
    <row r="11" spans="2:10" ht="12.75">
      <c r="B11" s="209"/>
      <c r="C11" s="39" t="s">
        <v>740</v>
      </c>
      <c r="D11" s="39"/>
      <c r="E11" s="39"/>
      <c r="F11" s="39"/>
      <c r="G11" s="39"/>
      <c r="H11" s="39"/>
      <c r="I11" s="39">
        <v>44925</v>
      </c>
      <c r="J11" s="40"/>
    </row>
    <row r="12" spans="2:10" ht="12.75">
      <c r="B12" s="209"/>
      <c r="C12" s="39" t="s">
        <v>741</v>
      </c>
      <c r="D12" s="39"/>
      <c r="E12" s="39">
        <v>-32500</v>
      </c>
      <c r="F12" s="39"/>
      <c r="G12" s="39"/>
      <c r="H12" s="39"/>
      <c r="I12" s="39">
        <v>-15000</v>
      </c>
      <c r="J12" s="40"/>
    </row>
    <row r="13" spans="2:10" ht="12.75">
      <c r="B13" s="209"/>
      <c r="C13" s="39" t="s">
        <v>777</v>
      </c>
      <c r="D13" s="39">
        <v>-14300</v>
      </c>
      <c r="E13" s="39"/>
      <c r="F13" s="39"/>
      <c r="G13" s="39"/>
      <c r="H13" s="39"/>
      <c r="I13" s="39"/>
      <c r="J13" s="40"/>
    </row>
    <row r="14" spans="2:10" ht="12.75">
      <c r="B14" s="209"/>
      <c r="C14" s="39"/>
      <c r="D14" s="210">
        <f aca="true" t="shared" si="0" ref="D14:I14">SUM(D6:D13)</f>
        <v>2419535</v>
      </c>
      <c r="E14" s="210">
        <f t="shared" si="0"/>
        <v>1690417</v>
      </c>
      <c r="F14" s="210">
        <f t="shared" si="0"/>
        <v>133121</v>
      </c>
      <c r="G14" s="210">
        <f t="shared" si="0"/>
        <v>88799</v>
      </c>
      <c r="H14" s="210">
        <f t="shared" si="0"/>
        <v>43370</v>
      </c>
      <c r="I14" s="210">
        <f t="shared" si="0"/>
        <v>541235</v>
      </c>
      <c r="J14" s="40"/>
    </row>
    <row r="15" spans="2:10" ht="12.75">
      <c r="B15" s="218"/>
      <c r="C15" s="41"/>
      <c r="D15" s="41"/>
      <c r="E15" s="41"/>
      <c r="F15" s="41"/>
      <c r="G15" s="41"/>
      <c r="H15" s="41"/>
      <c r="I15" s="41"/>
      <c r="J15" s="42"/>
    </row>
    <row r="35" spans="2:10" ht="12.75">
      <c r="B35" s="1904" t="s">
        <v>784</v>
      </c>
      <c r="C35" s="1905"/>
      <c r="D35" s="1905"/>
      <c r="E35" s="1905"/>
      <c r="F35" s="1905"/>
      <c r="G35" s="1905"/>
      <c r="H35" s="1905"/>
      <c r="I35" s="1905"/>
      <c r="J35" s="1906"/>
    </row>
    <row r="36" spans="2:10" ht="12.75">
      <c r="B36" s="209"/>
      <c r="C36" s="39"/>
      <c r="D36" s="39"/>
      <c r="E36" s="39"/>
      <c r="F36" s="922" t="s">
        <v>729</v>
      </c>
      <c r="G36" s="39"/>
      <c r="H36" s="39"/>
      <c r="I36" s="39"/>
      <c r="J36" s="40"/>
    </row>
    <row r="37" spans="2:10" ht="12.75">
      <c r="B37" s="209"/>
      <c r="C37" s="39" t="s">
        <v>315</v>
      </c>
      <c r="D37" s="39"/>
      <c r="E37" s="39">
        <f>'R1'!I9</f>
        <v>9238580</v>
      </c>
      <c r="F37" s="923">
        <f>E37/E37</f>
        <v>1</v>
      </c>
      <c r="G37" s="39"/>
      <c r="H37" s="39"/>
      <c r="I37" s="39"/>
      <c r="J37" s="40"/>
    </row>
    <row r="38" spans="2:10" ht="12.75">
      <c r="B38" s="209"/>
      <c r="C38" s="39" t="s">
        <v>779</v>
      </c>
      <c r="D38" s="39">
        <f>AchatMat1ères</f>
        <v>3753000</v>
      </c>
      <c r="E38" s="39"/>
      <c r="F38" s="39"/>
      <c r="G38" s="39"/>
      <c r="H38" s="39"/>
      <c r="I38" s="39"/>
      <c r="J38" s="40"/>
    </row>
    <row r="39" spans="2:10" ht="12.75">
      <c r="B39" s="209"/>
      <c r="C39" s="39" t="s">
        <v>780</v>
      </c>
      <c r="D39" s="39">
        <f>StockMat1ères</f>
        <v>44640</v>
      </c>
      <c r="E39" s="39"/>
      <c r="F39" s="39"/>
      <c r="G39" s="39"/>
      <c r="H39" s="39"/>
      <c r="I39" s="39"/>
      <c r="J39" s="40"/>
    </row>
    <row r="40" spans="2:10" ht="12.75">
      <c r="B40" s="209"/>
      <c r="C40" s="39" t="s">
        <v>781</v>
      </c>
      <c r="D40" s="210">
        <f>D39+D38</f>
        <v>3797640</v>
      </c>
      <c r="E40" s="39"/>
      <c r="F40" s="39"/>
      <c r="G40" s="39"/>
      <c r="H40" s="39"/>
      <c r="I40" s="39"/>
      <c r="J40" s="40"/>
    </row>
    <row r="41" spans="2:10" ht="12.75">
      <c r="B41" s="209"/>
      <c r="C41" s="39" t="s">
        <v>782</v>
      </c>
      <c r="D41" s="39">
        <f>D14</f>
        <v>2419535</v>
      </c>
      <c r="E41" s="39"/>
      <c r="F41" s="39"/>
      <c r="G41" s="39"/>
      <c r="H41" s="39"/>
      <c r="I41" s="39"/>
      <c r="J41" s="40"/>
    </row>
    <row r="42" spans="2:10" ht="12.75">
      <c r="B42" s="209"/>
      <c r="C42" s="39" t="s">
        <v>783</v>
      </c>
      <c r="D42" s="210">
        <f>D41+D40</f>
        <v>6217175</v>
      </c>
      <c r="E42" s="39"/>
      <c r="F42" s="39"/>
      <c r="G42" s="39"/>
      <c r="H42" s="39"/>
      <c r="I42" s="39"/>
      <c r="J42" s="40"/>
    </row>
    <row r="43" spans="2:10" ht="12.75">
      <c r="B43" s="209"/>
      <c r="C43" s="39" t="s">
        <v>786</v>
      </c>
      <c r="D43" s="39">
        <f>-ProdStock</f>
        <v>-122385</v>
      </c>
      <c r="E43" s="39"/>
      <c r="F43" s="39"/>
      <c r="G43" s="39"/>
      <c r="H43" s="39"/>
      <c r="I43" s="39"/>
      <c r="J43" s="40"/>
    </row>
    <row r="44" spans="2:10" ht="12.75">
      <c r="B44" s="209"/>
      <c r="C44" s="39"/>
      <c r="D44" s="210">
        <f>D42+D43</f>
        <v>6094790</v>
      </c>
      <c r="E44" s="39"/>
      <c r="F44" s="39"/>
      <c r="G44" s="39"/>
      <c r="H44" s="39"/>
      <c r="I44" s="39"/>
      <c r="J44" s="40"/>
    </row>
    <row r="45" spans="2:10" ht="12.75">
      <c r="B45" s="209"/>
      <c r="C45" s="39"/>
      <c r="D45" s="39"/>
      <c r="E45" s="39"/>
      <c r="F45" s="39"/>
      <c r="G45" s="39"/>
      <c r="H45" s="39"/>
      <c r="I45" s="39"/>
      <c r="J45" s="40"/>
    </row>
    <row r="46" spans="2:10" ht="12.75">
      <c r="B46" s="209"/>
      <c r="C46" s="39" t="s">
        <v>785</v>
      </c>
      <c r="D46" s="39">
        <f>F14</f>
        <v>133121</v>
      </c>
      <c r="E46" s="39"/>
      <c r="F46" s="39"/>
      <c r="G46" s="39"/>
      <c r="H46" s="39"/>
      <c r="I46" s="39"/>
      <c r="J46" s="40"/>
    </row>
    <row r="47" spans="2:10" ht="12.75">
      <c r="B47" s="209"/>
      <c r="C47" s="39" t="s">
        <v>788</v>
      </c>
      <c r="D47" s="39">
        <f>H14</f>
        <v>43370</v>
      </c>
      <c r="E47" s="39"/>
      <c r="F47" s="39"/>
      <c r="G47" s="39"/>
      <c r="H47" s="39"/>
      <c r="I47" s="39"/>
      <c r="J47" s="40"/>
    </row>
    <row r="48" spans="2:10" ht="12.75">
      <c r="B48" s="209"/>
      <c r="C48" s="210" t="s">
        <v>787</v>
      </c>
      <c r="D48" s="210">
        <f>D47+D46</f>
        <v>176491</v>
      </c>
      <c r="E48" s="39"/>
      <c r="F48" s="39"/>
      <c r="G48" s="39"/>
      <c r="H48" s="39"/>
      <c r="I48" s="39"/>
      <c r="J48" s="40"/>
    </row>
    <row r="49" spans="2:10" ht="12.75">
      <c r="B49" s="209"/>
      <c r="C49" s="924" t="s">
        <v>789</v>
      </c>
      <c r="D49" s="921">
        <f>D44+D48</f>
        <v>6271281</v>
      </c>
      <c r="E49" s="925">
        <f>-D49</f>
        <v>-6271281</v>
      </c>
      <c r="F49" s="923">
        <f>E49/E37</f>
        <v>-0.6788143848946483</v>
      </c>
      <c r="G49" s="39"/>
      <c r="H49" s="39"/>
      <c r="I49" s="39"/>
      <c r="J49" s="40"/>
    </row>
    <row r="50" spans="2:10" ht="12.75">
      <c r="B50" s="209"/>
      <c r="C50" s="39" t="s">
        <v>794</v>
      </c>
      <c r="D50" s="39"/>
      <c r="E50" s="210">
        <f>SUM(E37:E49)</f>
        <v>2967299</v>
      </c>
      <c r="F50" s="923">
        <f>E50/E37</f>
        <v>0.3211856151053517</v>
      </c>
      <c r="G50" s="39"/>
      <c r="H50" s="39"/>
      <c r="I50" s="39"/>
      <c r="J50" s="40"/>
    </row>
    <row r="51" spans="2:10" ht="12.75">
      <c r="B51" s="209"/>
      <c r="G51" s="39"/>
      <c r="H51" s="39"/>
      <c r="I51" s="39"/>
      <c r="J51" s="40"/>
    </row>
    <row r="52" spans="2:10" ht="12.75">
      <c r="B52" s="209"/>
      <c r="C52" s="39" t="s">
        <v>790</v>
      </c>
      <c r="D52" s="39"/>
      <c r="E52" s="39">
        <f>E14</f>
        <v>1690417</v>
      </c>
      <c r="F52" s="39"/>
      <c r="G52" s="39"/>
      <c r="H52" s="39"/>
      <c r="I52" s="39"/>
      <c r="J52" s="40"/>
    </row>
    <row r="53" spans="2:10" ht="12.75">
      <c r="B53" s="209"/>
      <c r="C53" s="39" t="s">
        <v>791</v>
      </c>
      <c r="D53" s="39"/>
      <c r="E53" s="39">
        <f>G14</f>
        <v>88799</v>
      </c>
      <c r="F53" s="39"/>
      <c r="G53" s="39"/>
      <c r="H53" s="39"/>
      <c r="I53" s="39"/>
      <c r="J53" s="40"/>
    </row>
    <row r="54" spans="2:10" ht="12.75">
      <c r="B54" s="209"/>
      <c r="C54" s="39" t="s">
        <v>792</v>
      </c>
      <c r="D54" s="39"/>
      <c r="E54" s="39">
        <f>I14</f>
        <v>541235</v>
      </c>
      <c r="F54" s="39"/>
      <c r="G54" s="39"/>
      <c r="H54" s="39"/>
      <c r="I54" s="39"/>
      <c r="J54" s="40"/>
    </row>
    <row r="55" spans="2:10" ht="12.75">
      <c r="B55" s="209"/>
      <c r="C55" s="39" t="s">
        <v>793</v>
      </c>
      <c r="D55" s="39"/>
      <c r="E55" s="39">
        <f>-AutreProduit</f>
        <v>-32350</v>
      </c>
      <c r="F55" s="39"/>
      <c r="G55" s="39"/>
      <c r="H55" s="39"/>
      <c r="I55" s="39"/>
      <c r="J55" s="40"/>
    </row>
    <row r="56" spans="2:10" ht="12.75">
      <c r="B56" s="209"/>
      <c r="C56" s="39" t="s">
        <v>795</v>
      </c>
      <c r="D56" s="39"/>
      <c r="E56" s="210">
        <f>-SUM(E52:E55)</f>
        <v>-2288101</v>
      </c>
      <c r="F56" s="39"/>
      <c r="G56" s="39"/>
      <c r="H56" s="39"/>
      <c r="I56" s="39"/>
      <c r="J56" s="40"/>
    </row>
    <row r="57" spans="2:10" ht="12.75">
      <c r="B57" s="209"/>
      <c r="C57" s="39" t="s">
        <v>1209</v>
      </c>
      <c r="D57" s="39"/>
      <c r="E57" s="39">
        <f>E56+E50</f>
        <v>679198</v>
      </c>
      <c r="F57" s="923"/>
      <c r="G57" s="39"/>
      <c r="H57" s="39"/>
      <c r="I57" s="39"/>
      <c r="J57" s="40"/>
    </row>
    <row r="58" spans="2:10" ht="12.75">
      <c r="B58" s="218"/>
      <c r="C58" s="41"/>
      <c r="D58" s="41"/>
      <c r="E58" s="41"/>
      <c r="F58" s="41"/>
      <c r="G58" s="41"/>
      <c r="H58" s="41"/>
      <c r="I58" s="41"/>
      <c r="J58" s="42"/>
    </row>
  </sheetData>
  <sheetProtection/>
  <mergeCells count="5">
    <mergeCell ref="B35:J35"/>
    <mergeCell ref="C3:I3"/>
    <mergeCell ref="D4:E4"/>
    <mergeCell ref="F4:G4"/>
    <mergeCell ref="H4:I4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25"/>
  <dimension ref="B2:AA36"/>
  <sheetViews>
    <sheetView zoomScalePageLayoutView="0" workbookViewId="0" topLeftCell="A1">
      <selection activeCell="C3" sqref="C3:L3"/>
    </sheetView>
  </sheetViews>
  <sheetFormatPr defaultColWidth="11.421875" defaultRowHeight="12.75"/>
  <cols>
    <col min="1" max="1" width="1.8515625" style="0" customWidth="1"/>
    <col min="2" max="2" width="3.8515625" style="0" customWidth="1"/>
    <col min="3" max="3" width="24.57421875" style="0" customWidth="1"/>
    <col min="4" max="4" width="17.00390625" style="0" customWidth="1"/>
    <col min="5" max="5" width="5.421875" style="0" customWidth="1"/>
    <col min="6" max="6" width="12.7109375" style="0" bestFit="1" customWidth="1"/>
    <col min="7" max="7" width="7.421875" style="0" customWidth="1"/>
    <col min="8" max="8" width="12.7109375" style="0" bestFit="1" customWidth="1"/>
    <col min="9" max="9" width="11.7109375" style="0" bestFit="1" customWidth="1"/>
    <col min="10" max="10" width="14.57421875" style="0" customWidth="1"/>
    <col min="11" max="11" width="4.140625" style="0" customWidth="1"/>
    <col min="13" max="13" width="3.8515625" style="0" customWidth="1"/>
    <col min="14" max="21" width="13.421875" style="0" customWidth="1"/>
  </cols>
  <sheetData>
    <row r="1" ht="5.25" customHeight="1" thickBot="1"/>
    <row r="2" spans="2:21" ht="6" customHeight="1">
      <c r="B2" s="1212"/>
      <c r="C2" s="1213"/>
      <c r="D2" s="1213"/>
      <c r="E2" s="1213"/>
      <c r="F2" s="1213"/>
      <c r="G2" s="1213"/>
      <c r="H2" s="1213"/>
      <c r="I2" s="1213"/>
      <c r="J2" s="1213"/>
      <c r="K2" s="1213"/>
      <c r="L2" s="1213"/>
      <c r="M2" s="1214"/>
      <c r="N2" s="167"/>
      <c r="O2" s="167"/>
      <c r="P2" s="167"/>
      <c r="Q2" s="167"/>
      <c r="R2" s="167"/>
      <c r="S2" s="167"/>
      <c r="T2" s="167"/>
      <c r="U2" s="167"/>
    </row>
    <row r="3" spans="2:21" ht="12.75">
      <c r="B3" s="1215"/>
      <c r="C3" s="1913" t="s">
        <v>1084</v>
      </c>
      <c r="D3" s="1914"/>
      <c r="E3" s="1914"/>
      <c r="F3" s="1914"/>
      <c r="G3" s="1914"/>
      <c r="H3" s="1914"/>
      <c r="I3" s="1914"/>
      <c r="J3" s="1914"/>
      <c r="K3" s="1914"/>
      <c r="L3" s="1915"/>
      <c r="M3" s="1216"/>
      <c r="N3" s="167"/>
      <c r="O3" s="167"/>
      <c r="P3" s="167"/>
      <c r="Q3" s="167"/>
      <c r="R3" s="167"/>
      <c r="S3" s="167"/>
      <c r="T3" s="167"/>
      <c r="U3" s="167"/>
    </row>
    <row r="4" spans="2:21" ht="12.75">
      <c r="B4" s="1215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216"/>
      <c r="N4" s="167"/>
      <c r="O4" s="167"/>
      <c r="P4" s="167"/>
      <c r="Q4" s="167"/>
      <c r="R4" s="167"/>
      <c r="S4" s="167"/>
      <c r="T4" s="167"/>
      <c r="U4" s="167"/>
    </row>
    <row r="5" spans="2:21" ht="12.75">
      <c r="B5" s="1215"/>
      <c r="C5" s="207" t="s">
        <v>811</v>
      </c>
      <c r="D5" s="39">
        <f>TED!E37</f>
        <v>9238580</v>
      </c>
      <c r="E5" s="167" t="s">
        <v>44</v>
      </c>
      <c r="F5" s="39">
        <f>H5</f>
        <v>9238580</v>
      </c>
      <c r="G5" s="167" t="s">
        <v>44</v>
      </c>
      <c r="H5" s="39">
        <f>ABS(D5)</f>
        <v>9238580</v>
      </c>
      <c r="I5" s="167"/>
      <c r="J5" s="167"/>
      <c r="K5" s="167"/>
      <c r="L5" s="167"/>
      <c r="M5" s="1216"/>
      <c r="N5" s="167"/>
      <c r="O5" s="167"/>
      <c r="P5" s="167"/>
      <c r="Q5" s="167"/>
      <c r="R5" s="167"/>
      <c r="S5" s="167"/>
      <c r="T5" s="167"/>
      <c r="U5" s="167"/>
    </row>
    <row r="6" spans="2:21" ht="12.75">
      <c r="B6" s="1215"/>
      <c r="C6" s="207" t="s">
        <v>814</v>
      </c>
      <c r="D6" s="39">
        <f>TED!E49</f>
        <v>-6271281</v>
      </c>
      <c r="E6" s="167" t="s">
        <v>815</v>
      </c>
      <c r="F6" s="452">
        <f>H6/SR_CA</f>
        <v>0.6788143848946483</v>
      </c>
      <c r="G6" s="167" t="s">
        <v>819</v>
      </c>
      <c r="H6" s="39">
        <f>ABS(D6)</f>
        <v>6271281</v>
      </c>
      <c r="I6" s="167"/>
      <c r="J6" s="167"/>
      <c r="K6" s="167"/>
      <c r="L6" s="167"/>
      <c r="M6" s="1216"/>
      <c r="N6" s="167"/>
      <c r="O6" s="167"/>
      <c r="P6" s="167"/>
      <c r="Q6" s="167"/>
      <c r="R6" s="167"/>
      <c r="S6" s="167"/>
      <c r="T6" s="167"/>
      <c r="U6" s="167"/>
    </row>
    <row r="7" spans="2:21" ht="12.75">
      <c r="B7" s="1215"/>
      <c r="C7" s="207" t="s">
        <v>812</v>
      </c>
      <c r="D7" s="210">
        <f>D6+D5</f>
        <v>2967299</v>
      </c>
      <c r="E7" s="167" t="s">
        <v>816</v>
      </c>
      <c r="F7" s="452">
        <f>H7/SR_CA</f>
        <v>0.3211856151053517</v>
      </c>
      <c r="G7" s="167" t="s">
        <v>820</v>
      </c>
      <c r="H7" s="39">
        <f>ABS(D7)</f>
        <v>2967299</v>
      </c>
      <c r="I7" s="167"/>
      <c r="J7" s="167"/>
      <c r="K7" s="167"/>
      <c r="L7" s="167"/>
      <c r="M7" s="1216"/>
      <c r="N7" s="167"/>
      <c r="O7" s="167"/>
      <c r="P7" s="167"/>
      <c r="Q7" s="167"/>
      <c r="R7" s="167"/>
      <c r="S7" s="167"/>
      <c r="T7" s="167"/>
      <c r="U7" s="167"/>
    </row>
    <row r="8" spans="2:21" ht="12.75">
      <c r="B8" s="1215"/>
      <c r="C8" s="44" t="s">
        <v>813</v>
      </c>
      <c r="D8" s="39">
        <f>TED!E56</f>
        <v>-2288101</v>
      </c>
      <c r="E8" s="167" t="s">
        <v>817</v>
      </c>
      <c r="F8" s="452">
        <f>H8/SR_CA</f>
        <v>0.24766803989357672</v>
      </c>
      <c r="G8" s="167" t="s">
        <v>817</v>
      </c>
      <c r="H8" s="39">
        <f>ABS(D8)</f>
        <v>2288101</v>
      </c>
      <c r="I8" s="167"/>
      <c r="J8" s="167"/>
      <c r="K8" s="167"/>
      <c r="L8" s="167"/>
      <c r="M8" s="1216"/>
      <c r="N8" s="167"/>
      <c r="O8" s="167"/>
      <c r="P8" s="167"/>
      <c r="Q8" s="167"/>
      <c r="R8" s="167"/>
      <c r="S8" s="167"/>
      <c r="T8" s="167"/>
      <c r="U8" s="167"/>
    </row>
    <row r="9" spans="2:21" ht="12.75">
      <c r="B9" s="1215"/>
      <c r="C9" s="167"/>
      <c r="D9" s="210">
        <f>D7+D8</f>
        <v>679198</v>
      </c>
      <c r="E9" s="167" t="s">
        <v>818</v>
      </c>
      <c r="F9" s="452">
        <f>H9/SR_CA</f>
        <v>0.07351757521177497</v>
      </c>
      <c r="G9" s="167" t="s">
        <v>818</v>
      </c>
      <c r="H9" s="39">
        <f>ABS(D9)</f>
        <v>679198</v>
      </c>
      <c r="I9" s="167"/>
      <c r="J9" s="167"/>
      <c r="K9" s="167"/>
      <c r="L9" s="167"/>
      <c r="M9" s="1216"/>
      <c r="N9" s="167"/>
      <c r="O9" s="167"/>
      <c r="P9" s="167"/>
      <c r="Q9" s="167"/>
      <c r="R9" s="167"/>
      <c r="S9" s="167"/>
      <c r="T9" s="167"/>
      <c r="U9" s="167"/>
    </row>
    <row r="10" spans="2:21" ht="12.75">
      <c r="B10" s="1215"/>
      <c r="C10" s="167"/>
      <c r="D10" s="579"/>
      <c r="E10" s="579"/>
      <c r="F10" s="579"/>
      <c r="G10" s="579"/>
      <c r="H10" s="579"/>
      <c r="I10" s="167"/>
      <c r="J10" s="167"/>
      <c r="K10" s="167"/>
      <c r="L10" s="167"/>
      <c r="M10" s="1216"/>
      <c r="N10" s="167"/>
      <c r="O10" s="167"/>
      <c r="P10" s="167"/>
      <c r="Q10" s="167"/>
      <c r="R10" s="167"/>
      <c r="S10" s="167"/>
      <c r="T10" s="167"/>
      <c r="U10" s="167"/>
    </row>
    <row r="11" spans="2:21" ht="12.75">
      <c r="B11" s="1215"/>
      <c r="C11" s="1909" t="s">
        <v>822</v>
      </c>
      <c r="D11" s="207" t="s">
        <v>795</v>
      </c>
      <c r="E11" s="1910" t="s">
        <v>318</v>
      </c>
      <c r="F11" s="43">
        <f>H8</f>
        <v>2288101</v>
      </c>
      <c r="G11" s="1910" t="s">
        <v>318</v>
      </c>
      <c r="H11" s="1916">
        <f>IF(F12=0,"",F11/F12)</f>
        <v>7123921.1608199915</v>
      </c>
      <c r="I11" s="167"/>
      <c r="J11" s="167"/>
      <c r="K11" s="167"/>
      <c r="L11" s="167"/>
      <c r="M11" s="1216"/>
      <c r="N11" s="167"/>
      <c r="O11" s="167"/>
      <c r="P11" s="167"/>
      <c r="Q11" s="167"/>
      <c r="R11" s="167"/>
      <c r="S11" s="167"/>
      <c r="T11" s="167"/>
      <c r="U11" s="167"/>
    </row>
    <row r="12" spans="2:21" ht="12.75">
      <c r="B12" s="1215"/>
      <c r="C12" s="1909"/>
      <c r="D12" s="205" t="s">
        <v>820</v>
      </c>
      <c r="E12" s="1910"/>
      <c r="F12" s="929">
        <f>F7</f>
        <v>0.3211856151053517</v>
      </c>
      <c r="G12" s="1911"/>
      <c r="H12" s="1916"/>
      <c r="I12" s="167"/>
      <c r="J12" s="167"/>
      <c r="K12" s="167"/>
      <c r="L12" s="167"/>
      <c r="M12" s="1216"/>
      <c r="N12" s="167"/>
      <c r="O12" s="167"/>
      <c r="P12" s="167"/>
      <c r="Q12" s="167"/>
      <c r="R12" s="167"/>
      <c r="S12" s="167"/>
      <c r="T12" s="167"/>
      <c r="U12" s="167"/>
    </row>
    <row r="13" spans="2:21" ht="12.75">
      <c r="B13" s="1215"/>
      <c r="C13" s="167"/>
      <c r="D13" s="167"/>
      <c r="E13" s="167"/>
      <c r="F13" s="207"/>
      <c r="G13" s="167"/>
      <c r="H13" s="167"/>
      <c r="I13" s="39"/>
      <c r="J13" s="167"/>
      <c r="K13" s="167"/>
      <c r="L13" s="167"/>
      <c r="M13" s="1216"/>
      <c r="N13" s="167"/>
      <c r="O13" s="167"/>
      <c r="P13" s="167"/>
      <c r="Q13" s="167"/>
      <c r="R13" s="167"/>
      <c r="S13" s="167"/>
      <c r="T13" s="167"/>
      <c r="U13" s="167"/>
    </row>
    <row r="14" spans="2:21" ht="12.75">
      <c r="B14" s="1215"/>
      <c r="C14" s="167"/>
      <c r="D14" s="207" t="s">
        <v>825</v>
      </c>
      <c r="E14" s="167"/>
      <c r="F14" s="43">
        <f>SR_CA</f>
        <v>9238580</v>
      </c>
      <c r="G14" s="579"/>
      <c r="H14" s="579"/>
      <c r="I14" s="167"/>
      <c r="J14" s="167"/>
      <c r="K14" s="167"/>
      <c r="L14" s="167"/>
      <c r="M14" s="1216"/>
      <c r="N14" s="167"/>
      <c r="O14" s="167"/>
      <c r="P14" s="167"/>
      <c r="Q14" s="167"/>
      <c r="R14" s="167"/>
      <c r="S14" s="167"/>
      <c r="T14" s="167"/>
      <c r="U14" s="167"/>
    </row>
    <row r="15" spans="2:21" ht="12.75">
      <c r="B15" s="1215"/>
      <c r="C15" s="167"/>
      <c r="D15" s="207" t="s">
        <v>824</v>
      </c>
      <c r="E15" s="167"/>
      <c r="F15" s="43">
        <f>-H11</f>
        <v>-7123921.1608199915</v>
      </c>
      <c r="G15" s="579"/>
      <c r="H15" s="579"/>
      <c r="I15" s="167"/>
      <c r="J15" s="167"/>
      <c r="K15" s="167"/>
      <c r="L15" s="167"/>
      <c r="M15" s="1216"/>
      <c r="N15" s="167"/>
      <c r="O15" s="167"/>
      <c r="P15" s="167"/>
      <c r="Q15" s="167"/>
      <c r="R15" s="167"/>
      <c r="S15" s="167"/>
      <c r="T15" s="167"/>
      <c r="U15" s="167"/>
    </row>
    <row r="16" spans="2:21" ht="12.75">
      <c r="B16" s="1215"/>
      <c r="C16" s="167"/>
      <c r="D16" s="205" t="s">
        <v>823</v>
      </c>
      <c r="E16" s="167"/>
      <c r="F16" s="501">
        <f>SUM(F14:F15)</f>
        <v>2114658.8391800085</v>
      </c>
      <c r="G16" s="167"/>
      <c r="H16" s="167"/>
      <c r="I16" s="167"/>
      <c r="J16" s="167"/>
      <c r="K16" s="167"/>
      <c r="L16" s="167"/>
      <c r="M16" s="1216"/>
      <c r="N16" s="167"/>
      <c r="O16" s="167"/>
      <c r="P16" s="167"/>
      <c r="Q16" s="167"/>
      <c r="R16" s="167"/>
      <c r="S16" s="167"/>
      <c r="T16" s="167"/>
      <c r="U16" s="167"/>
    </row>
    <row r="17" spans="2:21" ht="12.75">
      <c r="B17" s="1215"/>
      <c r="C17" s="167"/>
      <c r="D17" s="167"/>
      <c r="E17" s="167"/>
      <c r="F17" s="207"/>
      <c r="G17" s="167"/>
      <c r="H17" s="167"/>
      <c r="I17" s="167"/>
      <c r="J17" s="167"/>
      <c r="K17" s="167"/>
      <c r="L17" s="167"/>
      <c r="M17" s="1216"/>
      <c r="N17" s="167"/>
      <c r="O17" s="167"/>
      <c r="P17" s="167"/>
      <c r="Q17" s="167"/>
      <c r="R17" s="167"/>
      <c r="S17" s="167"/>
      <c r="T17" s="167"/>
      <c r="U17" s="167"/>
    </row>
    <row r="18" spans="2:21" ht="12.75">
      <c r="B18" s="1215"/>
      <c r="C18" s="1909" t="s">
        <v>828</v>
      </c>
      <c r="D18" s="579" t="s">
        <v>821</v>
      </c>
      <c r="E18" s="1910" t="s">
        <v>318</v>
      </c>
      <c r="F18" s="43">
        <f>F16</f>
        <v>2114658.8391800085</v>
      </c>
      <c r="G18" s="1910" t="s">
        <v>318</v>
      </c>
      <c r="H18" s="1911">
        <f>IF(F19=0,"",F18/F19)</f>
        <v>0.22889435813512557</v>
      </c>
      <c r="I18" s="1910" t="s">
        <v>318</v>
      </c>
      <c r="J18" s="1912">
        <f>H18</f>
        <v>0.22889435813512557</v>
      </c>
      <c r="K18" s="167"/>
      <c r="L18" s="167"/>
      <c r="M18" s="1216"/>
      <c r="N18" s="167"/>
      <c r="O18" s="167"/>
      <c r="P18" s="167"/>
      <c r="Q18" s="167"/>
      <c r="R18" s="167"/>
      <c r="S18" s="167"/>
      <c r="T18" s="167"/>
      <c r="U18" s="167"/>
    </row>
    <row r="19" spans="2:21" ht="12.75">
      <c r="B19" s="1215"/>
      <c r="C19" s="1909"/>
      <c r="D19" s="930" t="s">
        <v>811</v>
      </c>
      <c r="E19" s="1910"/>
      <c r="F19" s="501">
        <f>F14</f>
        <v>9238580</v>
      </c>
      <c r="G19" s="1911"/>
      <c r="H19" s="1911"/>
      <c r="I19" s="1911"/>
      <c r="J19" s="1912"/>
      <c r="K19" s="167"/>
      <c r="L19" s="167"/>
      <c r="M19" s="1216"/>
      <c r="N19" s="167"/>
      <c r="O19" s="167"/>
      <c r="P19" s="167"/>
      <c r="Q19" s="167"/>
      <c r="R19" s="167"/>
      <c r="S19" s="167"/>
      <c r="T19" s="167"/>
      <c r="U19" s="167"/>
    </row>
    <row r="20" spans="2:21" ht="12.75">
      <c r="B20" s="1215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216"/>
      <c r="N20" s="167"/>
      <c r="O20" s="167"/>
      <c r="P20" s="167"/>
      <c r="Q20" s="167"/>
      <c r="R20" s="167"/>
      <c r="S20" s="167"/>
      <c r="T20" s="167"/>
      <c r="U20" s="167"/>
    </row>
    <row r="21" spans="2:21" ht="12.75">
      <c r="B21" s="1215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216"/>
      <c r="N21" s="167"/>
      <c r="O21" s="167"/>
      <c r="P21" s="167"/>
      <c r="Q21" s="167"/>
      <c r="R21" s="167"/>
      <c r="S21" s="167"/>
      <c r="T21" s="167"/>
      <c r="U21" s="167"/>
    </row>
    <row r="22" spans="2:21" ht="12.75">
      <c r="B22" s="1215"/>
      <c r="C22" s="167" t="s">
        <v>826</v>
      </c>
      <c r="D22" s="167" t="s">
        <v>827</v>
      </c>
      <c r="E22" s="167"/>
      <c r="F22" s="167"/>
      <c r="G22" s="167"/>
      <c r="H22" s="167"/>
      <c r="I22" s="167"/>
      <c r="J22" s="931">
        <f>1-J18</f>
        <v>0.7711056418648744</v>
      </c>
      <c r="K22" s="167"/>
      <c r="L22" s="167"/>
      <c r="M22" s="1216"/>
      <c r="N22" s="167"/>
      <c r="O22" s="167"/>
      <c r="P22" s="167"/>
      <c r="Q22" s="167"/>
      <c r="R22" s="167"/>
      <c r="S22" s="167"/>
      <c r="T22" s="167"/>
      <c r="U22" s="167"/>
    </row>
    <row r="23" spans="2:21" ht="12.75">
      <c r="B23" s="1215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216"/>
      <c r="N23" s="167"/>
      <c r="O23" s="167"/>
      <c r="P23" s="167"/>
      <c r="Q23" s="167"/>
      <c r="R23" s="167"/>
      <c r="S23" s="167"/>
      <c r="T23" s="167"/>
      <c r="U23" s="167"/>
    </row>
    <row r="24" spans="2:27" ht="12.75">
      <c r="B24" s="1215"/>
      <c r="C24" s="933" t="s">
        <v>830</v>
      </c>
      <c r="D24" s="167"/>
      <c r="E24" s="167"/>
      <c r="F24" s="934" t="s">
        <v>318</v>
      </c>
      <c r="G24" s="167" t="s">
        <v>829</v>
      </c>
      <c r="H24" s="167"/>
      <c r="I24" s="932" t="s">
        <v>318</v>
      </c>
      <c r="J24" s="167">
        <f>J22*12</f>
        <v>9.253267702378492</v>
      </c>
      <c r="K24" s="932" t="s">
        <v>318</v>
      </c>
      <c r="L24" s="932" t="str">
        <f>AA24</f>
        <v>9,25 mois</v>
      </c>
      <c r="M24" s="1217"/>
      <c r="N24" s="932"/>
      <c r="O24" s="932"/>
      <c r="P24" s="932"/>
      <c r="Q24" s="932"/>
      <c r="R24" s="932"/>
      <c r="S24" s="932"/>
      <c r="T24" s="932"/>
      <c r="U24" s="932"/>
      <c r="V24">
        <f>INT(J24)</f>
        <v>9</v>
      </c>
      <c r="W24">
        <f>J24-V24</f>
        <v>0.2532677023784924</v>
      </c>
      <c r="X24" t="str">
        <f>MID(W24,1,4)</f>
        <v>0,25</v>
      </c>
      <c r="Y24">
        <f>V24+X24</f>
        <v>9.25</v>
      </c>
      <c r="Z24" t="s">
        <v>43</v>
      </c>
      <c r="AA24" t="str">
        <f>Y24&amp;" "&amp;Z24</f>
        <v>9,25 mois</v>
      </c>
    </row>
    <row r="25" spans="2:21" ht="12.75">
      <c r="B25" s="1215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216"/>
      <c r="N25" s="167"/>
      <c r="O25" s="167"/>
      <c r="P25" s="167"/>
      <c r="Q25" s="167"/>
      <c r="R25" s="167"/>
      <c r="S25" s="167"/>
      <c r="T25" s="167"/>
      <c r="U25" s="167"/>
    </row>
    <row r="26" spans="2:13" ht="12.75">
      <c r="B26" s="1215"/>
      <c r="C26" s="167"/>
      <c r="D26" s="167"/>
      <c r="E26" s="167"/>
      <c r="F26" s="39" t="s">
        <v>84</v>
      </c>
      <c r="G26" s="167"/>
      <c r="H26" s="39" t="s">
        <v>908</v>
      </c>
      <c r="I26" s="167"/>
      <c r="J26" s="167" t="s">
        <v>909</v>
      </c>
      <c r="K26" s="167"/>
      <c r="L26" s="167"/>
      <c r="M26" s="1216"/>
    </row>
    <row r="27" spans="2:13" ht="12.75">
      <c r="B27" s="1215"/>
      <c r="C27" s="533" t="s">
        <v>44</v>
      </c>
      <c r="D27" s="167"/>
      <c r="E27" s="167"/>
      <c r="F27" s="39">
        <f>SR_CA</f>
        <v>9238580</v>
      </c>
      <c r="G27" s="167">
        <v>1.206</v>
      </c>
      <c r="H27" s="39">
        <f>F27/G27</f>
        <v>7660514.096185738</v>
      </c>
      <c r="I27" s="167">
        <v>12</v>
      </c>
      <c r="J27" s="39">
        <f>(F27*I27)</f>
        <v>110862960</v>
      </c>
      <c r="K27" s="167"/>
      <c r="L27" s="167"/>
      <c r="M27" s="1216"/>
    </row>
    <row r="28" spans="2:13" ht="12.75">
      <c r="B28" s="1215"/>
      <c r="C28" s="167" t="s">
        <v>820</v>
      </c>
      <c r="D28" s="167"/>
      <c r="E28" s="167"/>
      <c r="F28" s="39">
        <f>F7</f>
        <v>0.3211856151053517</v>
      </c>
      <c r="G28" s="167"/>
      <c r="H28" s="39">
        <f>F28</f>
        <v>0.3211856151053517</v>
      </c>
      <c r="I28" s="167"/>
      <c r="J28" s="39">
        <f>H28</f>
        <v>0.3211856151053517</v>
      </c>
      <c r="K28" s="167"/>
      <c r="L28" s="167"/>
      <c r="M28" s="1216"/>
    </row>
    <row r="29" spans="2:13" ht="12.75">
      <c r="B29" s="1215"/>
      <c r="C29" s="167" t="s">
        <v>794</v>
      </c>
      <c r="D29" s="167"/>
      <c r="E29" s="167"/>
      <c r="F29" s="39">
        <f>F27*F28</f>
        <v>2967299</v>
      </c>
      <c r="G29" s="167">
        <f>G27</f>
        <v>1.206</v>
      </c>
      <c r="H29" s="39">
        <f>F29*G29</f>
        <v>3578562.594</v>
      </c>
      <c r="I29" s="167"/>
      <c r="J29" s="39">
        <f>J27*J28</f>
        <v>35607588</v>
      </c>
      <c r="K29" s="167"/>
      <c r="L29" s="167"/>
      <c r="M29" s="1216"/>
    </row>
    <row r="30" spans="2:13" ht="12.75">
      <c r="B30" s="1215"/>
      <c r="C30" s="167"/>
      <c r="D30" s="167"/>
      <c r="E30" s="167"/>
      <c r="F30" s="39">
        <f>F27+F29</f>
        <v>12205879</v>
      </c>
      <c r="G30" s="167"/>
      <c r="H30" s="39">
        <f>H27+H29</f>
        <v>11239076.690185739</v>
      </c>
      <c r="I30" s="167"/>
      <c r="J30" s="39">
        <f>J27+J29</f>
        <v>146470548</v>
      </c>
      <c r="K30" s="167"/>
      <c r="L30" s="167"/>
      <c r="M30" s="1216"/>
    </row>
    <row r="31" spans="2:13" ht="12.75">
      <c r="B31" s="1215"/>
      <c r="C31" s="8"/>
      <c r="D31" s="167"/>
      <c r="E31" s="167"/>
      <c r="F31" s="39"/>
      <c r="G31" s="167"/>
      <c r="H31" s="167"/>
      <c r="I31" s="167"/>
      <c r="J31" s="167"/>
      <c r="K31" s="167"/>
      <c r="L31" s="167"/>
      <c r="M31" s="1216"/>
    </row>
    <row r="32" spans="2:13" ht="12.75">
      <c r="B32" s="1215"/>
      <c r="C32" s="8"/>
      <c r="D32" s="167"/>
      <c r="E32" s="167"/>
      <c r="F32" s="39"/>
      <c r="G32" s="167"/>
      <c r="H32" s="167"/>
      <c r="I32" s="167"/>
      <c r="J32" s="167"/>
      <c r="K32" s="167"/>
      <c r="L32" s="167"/>
      <c r="M32" s="1216"/>
    </row>
    <row r="33" spans="2:13" ht="12.75">
      <c r="B33" s="1215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216"/>
    </row>
    <row r="34" spans="2:13" ht="12.75">
      <c r="B34" s="1215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216"/>
    </row>
    <row r="35" spans="2:13" ht="12.75">
      <c r="B35" s="1215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216"/>
    </row>
    <row r="36" spans="2:13" ht="13.5" thickBot="1">
      <c r="B36" s="1218"/>
      <c r="C36" s="1219"/>
      <c r="D36" s="1219"/>
      <c r="E36" s="1219"/>
      <c r="F36" s="1219"/>
      <c r="G36" s="1219"/>
      <c r="H36" s="1219"/>
      <c r="I36" s="1219"/>
      <c r="J36" s="1219"/>
      <c r="K36" s="1219"/>
      <c r="L36" s="1219"/>
      <c r="M36" s="1220"/>
    </row>
    <row r="37" ht="4.5" customHeight="1"/>
  </sheetData>
  <sheetProtection/>
  <mergeCells count="11">
    <mergeCell ref="C3:L3"/>
    <mergeCell ref="G11:G12"/>
    <mergeCell ref="H11:H12"/>
    <mergeCell ref="C11:C12"/>
    <mergeCell ref="E11:E12"/>
    <mergeCell ref="C18:C19"/>
    <mergeCell ref="E18:E19"/>
    <mergeCell ref="I18:I19"/>
    <mergeCell ref="J18:J19"/>
    <mergeCell ref="G18:G19"/>
    <mergeCell ref="H18:H19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1"/>
  <dimension ref="A1:M20"/>
  <sheetViews>
    <sheetView zoomScalePageLayoutView="0" workbookViewId="0" topLeftCell="A1">
      <selection activeCell="A1" sqref="A1"/>
    </sheetView>
  </sheetViews>
  <sheetFormatPr defaultColWidth="11.421875" defaultRowHeight="12.75"/>
  <cols>
    <col min="3" max="3" width="18.00390625" style="0" customWidth="1"/>
  </cols>
  <sheetData>
    <row r="1" ht="12.75">
      <c r="J1" s="914" t="s">
        <v>715</v>
      </c>
    </row>
    <row r="2" spans="2:9" s="38" customFormat="1" ht="12.75">
      <c r="B2" s="38" t="s">
        <v>315</v>
      </c>
      <c r="D2" s="38">
        <v>3258000</v>
      </c>
      <c r="E2" s="165">
        <v>0.055</v>
      </c>
      <c r="F2" s="38">
        <f>D2*E2</f>
        <v>179190</v>
      </c>
      <c r="G2" s="38">
        <f>D2+F2</f>
        <v>3437190</v>
      </c>
      <c r="I2" s="38">
        <f>G2/(1+E2)</f>
        <v>3258000</v>
      </c>
    </row>
    <row r="3" spans="2:10" s="38" customFormat="1" ht="12.75">
      <c r="B3" s="38" t="s">
        <v>317</v>
      </c>
      <c r="D3" s="38">
        <v>2325000</v>
      </c>
      <c r="E3" s="165">
        <v>0.055</v>
      </c>
      <c r="F3" s="38">
        <f>D3*E3</f>
        <v>127875</v>
      </c>
      <c r="G3" s="38">
        <f>D3+F3</f>
        <v>2452875</v>
      </c>
      <c r="I3" s="38">
        <f>G3/(1+E3)</f>
        <v>2325000</v>
      </c>
      <c r="J3" s="454">
        <f>1+E3</f>
        <v>1.055</v>
      </c>
    </row>
    <row r="4" spans="2:9" s="38" customFormat="1" ht="12.75">
      <c r="B4" s="38" t="s">
        <v>714</v>
      </c>
      <c r="I4" s="38">
        <v>111230</v>
      </c>
    </row>
    <row r="5" spans="2:10" s="38" customFormat="1" ht="12.75">
      <c r="B5" s="38" t="s">
        <v>316</v>
      </c>
      <c r="E5" s="165">
        <v>0.206</v>
      </c>
      <c r="J5" s="454">
        <f>1+E5</f>
        <v>1.206</v>
      </c>
    </row>
    <row r="6" s="38" customFormat="1" ht="12.75"/>
    <row r="7" spans="1:13" s="13" customFormat="1" ht="12.75">
      <c r="A7" s="1471" t="s">
        <v>409</v>
      </c>
      <c r="B7" s="1472"/>
      <c r="C7" s="1472"/>
      <c r="D7" s="1472"/>
      <c r="E7" s="1472"/>
      <c r="F7" s="1472"/>
      <c r="G7" s="1472"/>
      <c r="H7" s="1472"/>
      <c r="I7" s="1472"/>
      <c r="J7" s="1473"/>
      <c r="K7" s="53"/>
      <c r="L7" s="53"/>
      <c r="M7" s="53"/>
    </row>
    <row r="8" spans="1:13" s="17" customFormat="1" ht="12.75">
      <c r="A8" s="1175"/>
      <c r="B8" s="1176"/>
      <c r="C8" s="1176"/>
      <c r="D8" s="1176"/>
      <c r="E8" s="1176"/>
      <c r="F8" s="1176"/>
      <c r="G8" s="1176"/>
      <c r="H8" s="1176"/>
      <c r="I8" s="1176"/>
      <c r="J8" s="1177"/>
      <c r="K8" s="201"/>
      <c r="L8" s="201"/>
      <c r="M8" s="201"/>
    </row>
    <row r="9" spans="1:13" s="13" customFormat="1" ht="12.75">
      <c r="A9" s="209"/>
      <c r="B9" s="39" t="s">
        <v>414</v>
      </c>
      <c r="C9" s="39"/>
      <c r="D9" s="38">
        <v>10000</v>
      </c>
      <c r="E9" s="39"/>
      <c r="F9" s="39"/>
      <c r="G9" s="39"/>
      <c r="H9" s="39"/>
      <c r="I9" s="39"/>
      <c r="J9" s="40"/>
      <c r="K9" s="53"/>
      <c r="L9" s="53"/>
      <c r="M9" s="53"/>
    </row>
    <row r="10" spans="1:13" s="13" customFormat="1" ht="12.75">
      <c r="A10" s="209"/>
      <c r="B10" s="39" t="s">
        <v>300</v>
      </c>
      <c r="C10" s="39"/>
      <c r="D10" s="39"/>
      <c r="E10" s="39"/>
      <c r="F10" s="39"/>
      <c r="G10" s="39"/>
      <c r="H10" s="39"/>
      <c r="I10" s="39"/>
      <c r="J10" s="40"/>
      <c r="K10" s="53"/>
      <c r="L10" s="53"/>
      <c r="M10" s="53"/>
    </row>
    <row r="11" spans="1:13" s="13" customFormat="1" ht="12.75">
      <c r="A11" s="209"/>
      <c r="B11" s="39" t="s">
        <v>401</v>
      </c>
      <c r="C11" s="39"/>
      <c r="D11" s="39">
        <v>50000</v>
      </c>
      <c r="E11" s="39"/>
      <c r="F11" s="39"/>
      <c r="G11" s="39"/>
      <c r="H11" s="39"/>
      <c r="I11" s="39"/>
      <c r="J11" s="40"/>
      <c r="K11" s="53"/>
      <c r="L11" s="53"/>
      <c r="M11" s="53"/>
    </row>
    <row r="12" spans="1:13" s="13" customFormat="1" ht="12.75">
      <c r="A12" s="209"/>
      <c r="B12" s="39" t="s">
        <v>402</v>
      </c>
      <c r="C12" s="39"/>
      <c r="D12" s="39">
        <v>10000</v>
      </c>
      <c r="E12" s="39"/>
      <c r="F12" s="39"/>
      <c r="G12" s="39"/>
      <c r="H12" s="39"/>
      <c r="I12" s="39"/>
      <c r="J12" s="40"/>
      <c r="K12" s="53"/>
      <c r="L12" s="53"/>
      <c r="M12" s="53"/>
    </row>
    <row r="13" spans="1:13" s="13" customFormat="1" ht="12.75">
      <c r="A13" s="209"/>
      <c r="B13" s="39" t="s">
        <v>403</v>
      </c>
      <c r="C13" s="39"/>
      <c r="D13" s="39">
        <v>5</v>
      </c>
      <c r="E13" s="39" t="s">
        <v>404</v>
      </c>
      <c r="F13" s="39"/>
      <c r="G13" s="39"/>
      <c r="H13" s="39"/>
      <c r="I13" s="39"/>
      <c r="J13" s="40"/>
      <c r="K13" s="53"/>
      <c r="L13" s="53"/>
      <c r="M13" s="53"/>
    </row>
    <row r="14" spans="1:13" s="13" customFormat="1" ht="12.75">
      <c r="A14" s="209"/>
      <c r="B14" s="39"/>
      <c r="C14" s="39"/>
      <c r="D14" s="39"/>
      <c r="E14" s="39"/>
      <c r="F14" s="39"/>
      <c r="G14" s="39"/>
      <c r="H14" s="39"/>
      <c r="I14" s="39"/>
      <c r="J14" s="40"/>
      <c r="K14" s="53"/>
      <c r="L14" s="53"/>
      <c r="M14" s="53"/>
    </row>
    <row r="15" spans="1:13" s="13" customFormat="1" ht="12.75">
      <c r="A15" s="1476" t="s">
        <v>405</v>
      </c>
      <c r="B15" s="1477"/>
      <c r="C15" s="1477"/>
      <c r="D15" s="41">
        <v>50000</v>
      </c>
      <c r="E15" s="500" t="s">
        <v>406</v>
      </c>
      <c r="F15" s="41">
        <v>10000</v>
      </c>
      <c r="G15" s="513" t="s">
        <v>318</v>
      </c>
      <c r="H15" s="514">
        <f>(D15-F15)/E16</f>
        <v>8000</v>
      </c>
      <c r="I15" s="514"/>
      <c r="J15" s="40"/>
      <c r="K15" s="53"/>
      <c r="L15" s="53"/>
      <c r="M15" s="53"/>
    </row>
    <row r="16" spans="1:13" s="13" customFormat="1" ht="12.75">
      <c r="A16" s="209"/>
      <c r="B16" s="514"/>
      <c r="C16" s="514"/>
      <c r="D16" s="39"/>
      <c r="E16" s="43">
        <f>D13</f>
        <v>5</v>
      </c>
      <c r="F16" s="39"/>
      <c r="G16" s="514"/>
      <c r="H16" s="514"/>
      <c r="I16" s="514"/>
      <c r="J16" s="40"/>
      <c r="K16" s="53"/>
      <c r="L16" s="53"/>
      <c r="M16" s="53"/>
    </row>
    <row r="17" spans="1:13" s="13" customFormat="1" ht="12.75">
      <c r="A17" s="209"/>
      <c r="B17" s="39"/>
      <c r="C17" s="39"/>
      <c r="D17" s="39"/>
      <c r="E17" s="39"/>
      <c r="F17" s="39"/>
      <c r="G17" s="39"/>
      <c r="H17" s="39"/>
      <c r="I17" s="39"/>
      <c r="J17" s="40"/>
      <c r="K17" s="53"/>
      <c r="L17" s="53"/>
      <c r="M17" s="53"/>
    </row>
    <row r="18" spans="1:13" s="13" customFormat="1" ht="12.75">
      <c r="A18" s="1474" t="s">
        <v>407</v>
      </c>
      <c r="B18" s="1475"/>
      <c r="C18" s="1475"/>
      <c r="D18" s="39">
        <f>F15</f>
        <v>10000</v>
      </c>
      <c r="E18" s="43" t="str">
        <f>E15</f>
        <v>―</v>
      </c>
      <c r="F18" s="39">
        <f>H15</f>
        <v>8000</v>
      </c>
      <c r="G18" s="43" t="str">
        <f>G15</f>
        <v>=</v>
      </c>
      <c r="H18" s="43">
        <f>D18-F18</f>
        <v>2000</v>
      </c>
      <c r="I18" s="43"/>
      <c r="J18" s="40"/>
      <c r="K18" s="53"/>
      <c r="L18" s="53"/>
      <c r="M18" s="53"/>
    </row>
    <row r="19" spans="1:13" s="13" customFormat="1" ht="12.75">
      <c r="A19" s="209"/>
      <c r="B19" s="39"/>
      <c r="C19" s="39"/>
      <c r="D19" s="39"/>
      <c r="E19" s="39"/>
      <c r="F19" s="39"/>
      <c r="G19" s="39"/>
      <c r="H19" s="39"/>
      <c r="I19" s="39"/>
      <c r="J19" s="40"/>
      <c r="K19" s="53"/>
      <c r="L19" s="53"/>
      <c r="M19" s="53"/>
    </row>
    <row r="20" spans="1:13" s="13" customFormat="1" ht="12.75">
      <c r="A20" s="218"/>
      <c r="B20" s="41"/>
      <c r="C20" s="41"/>
      <c r="D20" s="41"/>
      <c r="E20" s="41"/>
      <c r="F20" s="41"/>
      <c r="G20" s="41"/>
      <c r="H20" s="41"/>
      <c r="I20" s="41"/>
      <c r="J20" s="42"/>
      <c r="K20" s="53"/>
      <c r="L20" s="53"/>
      <c r="M20" s="53"/>
    </row>
  </sheetData>
  <sheetProtection/>
  <mergeCells count="3">
    <mergeCell ref="A7:J7"/>
    <mergeCell ref="A18:C18"/>
    <mergeCell ref="A15:C1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12"/>
  <dimension ref="B1:AH148"/>
  <sheetViews>
    <sheetView zoomScalePageLayoutView="0" workbookViewId="0" topLeftCell="A94">
      <selection activeCell="L28" sqref="L28"/>
    </sheetView>
  </sheetViews>
  <sheetFormatPr defaultColWidth="11.421875" defaultRowHeight="12.75"/>
  <cols>
    <col min="1" max="1" width="0.9921875" style="13" customWidth="1"/>
    <col min="2" max="2" width="28.140625" style="13" customWidth="1"/>
    <col min="3" max="3" width="11.7109375" style="53" customWidth="1"/>
    <col min="4" max="4" width="1.7109375" style="13" customWidth="1"/>
    <col min="5" max="5" width="1.1484375" style="8" customWidth="1"/>
    <col min="6" max="6" width="1.7109375" style="8" customWidth="1"/>
    <col min="7" max="7" width="34.57421875" style="13" customWidth="1"/>
    <col min="8" max="8" width="11.00390625" style="13" customWidth="1"/>
    <col min="9" max="10" width="1.1484375" style="8" customWidth="1"/>
    <col min="11" max="11" width="25.140625" style="13" customWidth="1"/>
    <col min="12" max="12" width="10.7109375" style="53" customWidth="1"/>
    <col min="13" max="13" width="10.421875" style="13" customWidth="1"/>
    <col min="14" max="14" width="28.140625" style="13" customWidth="1"/>
    <col min="15" max="15" width="11.7109375" style="53" customWidth="1"/>
    <col min="16" max="16" width="1.7109375" style="13" customWidth="1"/>
    <col min="17" max="17" width="1.1484375" style="8" customWidth="1"/>
    <col min="18" max="18" width="1.7109375" style="8" customWidth="1"/>
    <col min="19" max="19" width="34.57421875" style="13" customWidth="1"/>
    <col min="20" max="20" width="11.7109375" style="13" bestFit="1" customWidth="1"/>
    <col min="21" max="22" width="1.1484375" style="8" customWidth="1"/>
    <col min="23" max="23" width="24.7109375" style="13" customWidth="1"/>
    <col min="24" max="24" width="11.7109375" style="53" bestFit="1" customWidth="1"/>
    <col min="25" max="25" width="10.421875" style="17" customWidth="1"/>
    <col min="26" max="27" width="10.421875" style="25" customWidth="1"/>
    <col min="28" max="28" width="40.8515625" style="25" customWidth="1"/>
    <col min="29" max="30" width="14.57421875" style="25" customWidth="1"/>
    <col min="31" max="32" width="10.421875" style="25" customWidth="1"/>
    <col min="33" max="33" width="32.8515625" style="25" customWidth="1"/>
    <col min="34" max="16384" width="11.421875" style="13" customWidth="1"/>
  </cols>
  <sheetData>
    <row r="1" spans="2:34" ht="12.75">
      <c r="B1" s="1967" t="s">
        <v>1215</v>
      </c>
      <c r="C1" s="1932"/>
      <c r="D1" s="1932"/>
      <c r="E1" s="1932"/>
      <c r="F1" s="1932"/>
      <c r="G1" s="1932"/>
      <c r="H1" s="1932"/>
      <c r="I1" s="1932"/>
      <c r="J1" s="1932"/>
      <c r="K1" s="1932"/>
      <c r="L1" s="1932"/>
      <c r="M1" s="1968"/>
      <c r="N1" s="1861" t="s">
        <v>1260</v>
      </c>
      <c r="O1" s="1861"/>
      <c r="P1" s="1862"/>
      <c r="Q1" s="44"/>
      <c r="R1" s="1956" t="s">
        <v>1261</v>
      </c>
      <c r="S1" s="1957"/>
      <c r="T1" s="1957"/>
      <c r="U1" s="1958"/>
      <c r="V1" s="44"/>
      <c r="W1" s="1948" t="s">
        <v>1259</v>
      </c>
      <c r="X1" s="1949"/>
      <c r="Y1" s="25"/>
      <c r="AB1" s="775"/>
      <c r="AC1" s="818"/>
      <c r="AD1" s="818"/>
      <c r="AE1" s="818"/>
      <c r="AF1" s="819"/>
      <c r="AG1" s="818" t="s">
        <v>965</v>
      </c>
      <c r="AH1" s="22"/>
    </row>
    <row r="2" spans="2:34" ht="12.75">
      <c r="B2" s="1860" t="s">
        <v>1260</v>
      </c>
      <c r="C2" s="1861"/>
      <c r="D2" s="1862"/>
      <c r="E2" s="44"/>
      <c r="F2" s="1956" t="s">
        <v>1261</v>
      </c>
      <c r="G2" s="1957"/>
      <c r="H2" s="1957"/>
      <c r="I2" s="1958"/>
      <c r="J2" s="44"/>
      <c r="K2" s="1948" t="s">
        <v>1259</v>
      </c>
      <c r="L2" s="1963"/>
      <c r="M2" s="1949"/>
      <c r="N2" s="1179"/>
      <c r="O2" s="1180" t="s">
        <v>689</v>
      </c>
      <c r="P2" s="1179"/>
      <c r="Q2" s="1181"/>
      <c r="R2" s="1181"/>
      <c r="S2" s="1179"/>
      <c r="T2" s="1179" t="s">
        <v>689</v>
      </c>
      <c r="U2" s="1181"/>
      <c r="V2" s="1181"/>
      <c r="W2" s="1179"/>
      <c r="X2" s="1180" t="s">
        <v>689</v>
      </c>
      <c r="Y2" s="25"/>
      <c r="AB2" s="363"/>
      <c r="AF2" s="438"/>
      <c r="AG2" s="25" t="s">
        <v>966</v>
      </c>
      <c r="AH2" s="23">
        <v>2</v>
      </c>
    </row>
    <row r="3" spans="2:34" ht="12.75">
      <c r="B3" s="72"/>
      <c r="C3" s="119"/>
      <c r="D3" s="73"/>
      <c r="E3" s="47"/>
      <c r="F3" s="78"/>
      <c r="G3" s="79" t="s">
        <v>1257</v>
      </c>
      <c r="H3" s="80">
        <f>AchatMses</f>
        <v>0</v>
      </c>
      <c r="I3" s="124"/>
      <c r="J3" s="47"/>
      <c r="K3" s="93"/>
      <c r="L3" s="227" t="s">
        <v>29</v>
      </c>
      <c r="M3" s="226" t="s">
        <v>30</v>
      </c>
      <c r="N3" s="120"/>
      <c r="O3" s="119"/>
      <c r="P3" s="73"/>
      <c r="Q3" s="47"/>
      <c r="R3" s="78"/>
      <c r="S3" s="79" t="s">
        <v>1257</v>
      </c>
      <c r="T3" s="80">
        <f>'R1'!D5</f>
        <v>0</v>
      </c>
      <c r="U3" s="124"/>
      <c r="V3" s="47"/>
      <c r="W3" s="92"/>
      <c r="X3" s="149"/>
      <c r="Y3" s="25"/>
      <c r="AB3" s="363" t="str">
        <f>G3</f>
        <v>Achat de marchandises vendues</v>
      </c>
      <c r="AC3" s="25">
        <f>H3</f>
        <v>0</v>
      </c>
      <c r="AD3" s="25">
        <f>AC3</f>
        <v>0</v>
      </c>
      <c r="AE3" s="25">
        <f>AH2</f>
        <v>2</v>
      </c>
      <c r="AF3" s="438">
        <f>IF(AE3=1,AC3,IF(AE3=2,AD3))</f>
        <v>0</v>
      </c>
      <c r="AH3" s="23"/>
    </row>
    <row r="4" spans="2:34" ht="12.75">
      <c r="B4" s="72"/>
      <c r="C4" s="119"/>
      <c r="D4" s="73"/>
      <c r="E4" s="47"/>
      <c r="F4" s="81"/>
      <c r="G4" s="82" t="s">
        <v>1188</v>
      </c>
      <c r="H4" s="83">
        <f>StockMses</f>
        <v>0</v>
      </c>
      <c r="I4" s="115"/>
      <c r="J4" s="47"/>
      <c r="K4" s="93"/>
      <c r="L4" s="117"/>
      <c r="M4" s="221"/>
      <c r="N4" s="120"/>
      <c r="O4" s="119"/>
      <c r="P4" s="73"/>
      <c r="Q4" s="47"/>
      <c r="R4" s="81"/>
      <c r="S4" s="82" t="s">
        <v>1188</v>
      </c>
      <c r="T4" s="83">
        <f>'R1'!D6</f>
        <v>0</v>
      </c>
      <c r="U4" s="115"/>
      <c r="V4" s="47"/>
      <c r="W4" s="93"/>
      <c r="X4" s="117"/>
      <c r="Y4" s="25"/>
      <c r="AB4" s="363" t="str">
        <f aca="true" t="shared" si="0" ref="AB4:AB30">G4</f>
        <v>Variation des stock de m/ses</v>
      </c>
      <c r="AC4" s="25">
        <f aca="true" t="shared" si="1" ref="AC4:AC30">H4</f>
        <v>0</v>
      </c>
      <c r="AD4" s="25">
        <f aca="true" t="shared" si="2" ref="AD4:AD57">AC4</f>
        <v>0</v>
      </c>
      <c r="AE4" s="25">
        <f>AE3</f>
        <v>2</v>
      </c>
      <c r="AF4" s="438">
        <f aca="true" t="shared" si="3" ref="AF4:AF30">IF(AE4=1,AC4,IF(AE4=2,AD4))</f>
        <v>0</v>
      </c>
      <c r="AH4" s="23"/>
    </row>
    <row r="5" spans="2:34" ht="12.75">
      <c r="B5" s="72" t="s">
        <v>995</v>
      </c>
      <c r="C5" s="119">
        <f>VteMses</f>
        <v>0</v>
      </c>
      <c r="D5" s="73"/>
      <c r="E5" s="47"/>
      <c r="F5" s="81"/>
      <c r="G5" s="82" t="s">
        <v>1189</v>
      </c>
      <c r="H5" s="84">
        <f>H3+H4</f>
        <v>0</v>
      </c>
      <c r="I5" s="115"/>
      <c r="J5" s="47"/>
      <c r="K5" s="93" t="s">
        <v>1222</v>
      </c>
      <c r="L5" s="117">
        <f>C5-H5</f>
        <v>0</v>
      </c>
      <c r="M5" s="221"/>
      <c r="N5" s="120" t="s">
        <v>995</v>
      </c>
      <c r="O5" s="119">
        <f>'R1'!J6</f>
        <v>0</v>
      </c>
      <c r="P5" s="73"/>
      <c r="Q5" s="47"/>
      <c r="R5" s="81"/>
      <c r="S5" s="82" t="s">
        <v>1189</v>
      </c>
      <c r="T5" s="84">
        <f>T3+T4</f>
        <v>0</v>
      </c>
      <c r="U5" s="115"/>
      <c r="V5" s="47"/>
      <c r="W5" s="93" t="s">
        <v>1222</v>
      </c>
      <c r="X5" s="117">
        <f>O5-T5</f>
        <v>0</v>
      </c>
      <c r="Y5" s="25"/>
      <c r="AB5" s="363" t="str">
        <f t="shared" si="0"/>
        <v>Coût d'achat des Marchandises vendues</v>
      </c>
      <c r="AC5" s="25">
        <f t="shared" si="1"/>
        <v>0</v>
      </c>
      <c r="AD5" s="25">
        <f t="shared" si="2"/>
        <v>0</v>
      </c>
      <c r="AE5" s="25">
        <f aca="true" t="shared" si="4" ref="AE5:AE30">AE4</f>
        <v>2</v>
      </c>
      <c r="AF5" s="438">
        <f t="shared" si="3"/>
        <v>0</v>
      </c>
      <c r="AH5" s="23"/>
    </row>
    <row r="6" spans="2:34" ht="12.75">
      <c r="B6" s="72"/>
      <c r="C6" s="119"/>
      <c r="D6" s="74"/>
      <c r="F6" s="85"/>
      <c r="G6" s="82"/>
      <c r="H6" s="84"/>
      <c r="I6" s="115"/>
      <c r="J6" s="47"/>
      <c r="K6" s="93"/>
      <c r="L6" s="117"/>
      <c r="M6" s="221"/>
      <c r="N6" s="120"/>
      <c r="O6" s="119"/>
      <c r="P6" s="74"/>
      <c r="R6" s="85"/>
      <c r="S6" s="82"/>
      <c r="T6" s="84"/>
      <c r="U6" s="115"/>
      <c r="V6" s="47"/>
      <c r="W6" s="93"/>
      <c r="X6" s="117"/>
      <c r="Y6" s="25"/>
      <c r="AB6" s="363">
        <f t="shared" si="0"/>
        <v>0</v>
      </c>
      <c r="AC6" s="25">
        <f t="shared" si="1"/>
        <v>0</v>
      </c>
      <c r="AD6" s="25">
        <f t="shared" si="2"/>
        <v>0</v>
      </c>
      <c r="AE6" s="25">
        <f t="shared" si="4"/>
        <v>2</v>
      </c>
      <c r="AF6" s="438">
        <f t="shared" si="3"/>
        <v>0</v>
      </c>
      <c r="AH6" s="23"/>
    </row>
    <row r="7" spans="2:34" ht="12.75">
      <c r="B7" s="72" t="s">
        <v>1186</v>
      </c>
      <c r="C7" s="122">
        <f>ProdBiensVendu</f>
        <v>9238580</v>
      </c>
      <c r="D7" s="73"/>
      <c r="E7" s="47"/>
      <c r="F7" s="81"/>
      <c r="G7" s="82"/>
      <c r="H7" s="233"/>
      <c r="I7" s="115"/>
      <c r="J7" s="47"/>
      <c r="K7" s="93"/>
      <c r="L7" s="117"/>
      <c r="M7" s="221"/>
      <c r="N7" s="120" t="s">
        <v>1186</v>
      </c>
      <c r="O7" s="122">
        <f>'R1'!J7</f>
        <v>8912420</v>
      </c>
      <c r="P7" s="73"/>
      <c r="Q7" s="47"/>
      <c r="R7" s="81"/>
      <c r="S7" s="82"/>
      <c r="T7" s="84"/>
      <c r="U7" s="115"/>
      <c r="V7" s="47"/>
      <c r="W7" s="93"/>
      <c r="X7" s="117"/>
      <c r="Y7" s="25"/>
      <c r="AB7" s="363">
        <f t="shared" si="0"/>
        <v>0</v>
      </c>
      <c r="AC7" s="25">
        <f t="shared" si="1"/>
        <v>0</v>
      </c>
      <c r="AD7" s="25">
        <f t="shared" si="2"/>
        <v>0</v>
      </c>
      <c r="AE7" s="25">
        <f t="shared" si="4"/>
        <v>2</v>
      </c>
      <c r="AF7" s="438">
        <f t="shared" si="3"/>
        <v>0</v>
      </c>
      <c r="AH7" s="23"/>
    </row>
    <row r="8" spans="2:34" ht="12.75">
      <c r="B8" s="72" t="s">
        <v>1187</v>
      </c>
      <c r="C8" s="123">
        <f>ProdServiceVendu</f>
        <v>0</v>
      </c>
      <c r="D8" s="73"/>
      <c r="E8" s="47"/>
      <c r="F8" s="81"/>
      <c r="G8" s="82"/>
      <c r="H8" s="233"/>
      <c r="I8" s="114"/>
      <c r="K8" s="93"/>
      <c r="L8" s="117"/>
      <c r="M8" s="221"/>
      <c r="N8" s="120" t="s">
        <v>1187</v>
      </c>
      <c r="O8" s="123">
        <f>'R1'!G8</f>
        <v>0</v>
      </c>
      <c r="P8" s="73"/>
      <c r="Q8" s="47"/>
      <c r="R8" s="81"/>
      <c r="S8" s="82"/>
      <c r="T8" s="82"/>
      <c r="U8" s="114"/>
      <c r="W8" s="93"/>
      <c r="X8" s="117"/>
      <c r="Y8" s="25"/>
      <c r="AB8" s="363">
        <f t="shared" si="0"/>
        <v>0</v>
      </c>
      <c r="AC8" s="25">
        <f t="shared" si="1"/>
        <v>0</v>
      </c>
      <c r="AD8" s="25">
        <f t="shared" si="2"/>
        <v>0</v>
      </c>
      <c r="AE8" s="25">
        <f t="shared" si="4"/>
        <v>2</v>
      </c>
      <c r="AF8" s="438">
        <f t="shared" si="3"/>
        <v>0</v>
      </c>
      <c r="AH8" s="23"/>
    </row>
    <row r="9" spans="2:34" ht="12.75">
      <c r="B9" s="76" t="s">
        <v>1178</v>
      </c>
      <c r="C9" s="119">
        <f>C7+C8</f>
        <v>9238580</v>
      </c>
      <c r="D9" s="73"/>
      <c r="E9" s="47"/>
      <c r="F9" s="81"/>
      <c r="G9" s="82"/>
      <c r="H9" s="233"/>
      <c r="I9" s="115"/>
      <c r="J9" s="47"/>
      <c r="K9" s="93" t="s">
        <v>1221</v>
      </c>
      <c r="L9" s="117">
        <f>C9+C5</f>
        <v>9238580</v>
      </c>
      <c r="M9" s="223">
        <v>8912420</v>
      </c>
      <c r="N9" s="121" t="s">
        <v>1178</v>
      </c>
      <c r="O9" s="119">
        <f>O7+O8</f>
        <v>8912420</v>
      </c>
      <c r="P9" s="73"/>
      <c r="Q9" s="47"/>
      <c r="R9" s="81"/>
      <c r="S9" s="82"/>
      <c r="T9" s="84"/>
      <c r="U9" s="115"/>
      <c r="V9" s="47"/>
      <c r="W9" s="93" t="s">
        <v>1221</v>
      </c>
      <c r="X9" s="117">
        <f>O9+O5</f>
        <v>8912420</v>
      </c>
      <c r="Y9" s="25"/>
      <c r="AB9" s="363">
        <f t="shared" si="0"/>
        <v>0</v>
      </c>
      <c r="AC9" s="25">
        <f t="shared" si="1"/>
        <v>0</v>
      </c>
      <c r="AD9" s="25">
        <f t="shared" si="2"/>
        <v>0</v>
      </c>
      <c r="AE9" s="25">
        <f t="shared" si="4"/>
        <v>2</v>
      </c>
      <c r="AF9" s="438">
        <f t="shared" si="3"/>
        <v>0</v>
      </c>
      <c r="AH9" s="23"/>
    </row>
    <row r="10" spans="2:34" ht="12.75">
      <c r="B10" s="72"/>
      <c r="C10" s="119"/>
      <c r="D10" s="74"/>
      <c r="F10" s="85"/>
      <c r="G10" s="82"/>
      <c r="H10" s="233"/>
      <c r="I10" s="114"/>
      <c r="K10" s="93"/>
      <c r="L10" s="117"/>
      <c r="M10" s="221"/>
      <c r="N10" s="120"/>
      <c r="O10" s="119"/>
      <c r="P10" s="74"/>
      <c r="R10" s="85"/>
      <c r="S10" s="82"/>
      <c r="T10" s="82"/>
      <c r="U10" s="114"/>
      <c r="W10" s="93"/>
      <c r="X10" s="117"/>
      <c r="Y10" s="25"/>
      <c r="AB10" s="363">
        <f t="shared" si="0"/>
        <v>0</v>
      </c>
      <c r="AC10" s="25">
        <f t="shared" si="1"/>
        <v>0</v>
      </c>
      <c r="AD10" s="25">
        <f t="shared" si="2"/>
        <v>0</v>
      </c>
      <c r="AE10" s="25">
        <f t="shared" si="4"/>
        <v>2</v>
      </c>
      <c r="AF10" s="438">
        <f t="shared" si="3"/>
        <v>0</v>
      </c>
      <c r="AH10" s="23"/>
    </row>
    <row r="11" spans="2:34" ht="12.75">
      <c r="B11" s="72" t="s">
        <v>1220</v>
      </c>
      <c r="C11" s="122">
        <f>ProdStock</f>
        <v>122385</v>
      </c>
      <c r="D11" s="73"/>
      <c r="E11" s="47"/>
      <c r="F11" s="81"/>
      <c r="G11" s="82"/>
      <c r="H11" s="233"/>
      <c r="I11" s="115"/>
      <c r="J11" s="47"/>
      <c r="K11" s="138" t="str">
        <f>B9</f>
        <v>Production Vendues</v>
      </c>
      <c r="L11" s="150">
        <f>C9</f>
        <v>9238580</v>
      </c>
      <c r="M11" s="221"/>
      <c r="N11" s="120" t="s">
        <v>1220</v>
      </c>
      <c r="O11" s="122">
        <f>'R1'!J11</f>
        <v>0</v>
      </c>
      <c r="P11" s="73"/>
      <c r="Q11" s="47"/>
      <c r="R11" s="81"/>
      <c r="S11" s="82"/>
      <c r="T11" s="84"/>
      <c r="U11" s="115"/>
      <c r="V11" s="47"/>
      <c r="W11" s="138" t="str">
        <f>N9</f>
        <v>Production Vendues</v>
      </c>
      <c r="X11" s="150">
        <f>O9</f>
        <v>8912420</v>
      </c>
      <c r="Y11" s="25"/>
      <c r="AB11" s="363">
        <f t="shared" si="0"/>
        <v>0</v>
      </c>
      <c r="AC11" s="25">
        <f t="shared" si="1"/>
        <v>0</v>
      </c>
      <c r="AD11" s="25">
        <f t="shared" si="2"/>
        <v>0</v>
      </c>
      <c r="AE11" s="25">
        <f t="shared" si="4"/>
        <v>2</v>
      </c>
      <c r="AF11" s="438">
        <f t="shared" si="3"/>
        <v>0</v>
      </c>
      <c r="AH11" s="23"/>
    </row>
    <row r="12" spans="2:34" ht="12.75">
      <c r="B12" s="72" t="s">
        <v>1180</v>
      </c>
      <c r="C12" s="123">
        <f>ProdImmo</f>
        <v>14300</v>
      </c>
      <c r="D12" s="73"/>
      <c r="E12" s="47"/>
      <c r="F12" s="81"/>
      <c r="G12" s="82"/>
      <c r="H12" s="233"/>
      <c r="I12" s="114"/>
      <c r="K12" s="138" t="str">
        <f>B13</f>
        <v>Stocks de la productions</v>
      </c>
      <c r="L12" s="151">
        <f>C13</f>
        <v>136685</v>
      </c>
      <c r="M12" s="221"/>
      <c r="N12" s="120" t="s">
        <v>1180</v>
      </c>
      <c r="O12" s="123">
        <f>'R1'!J12</f>
        <v>0</v>
      </c>
      <c r="P12" s="73"/>
      <c r="Q12" s="47"/>
      <c r="R12" s="81"/>
      <c r="S12" s="82"/>
      <c r="T12" s="82"/>
      <c r="U12" s="114"/>
      <c r="W12" s="138" t="str">
        <f>N13</f>
        <v>Stocks de la productions</v>
      </c>
      <c r="X12" s="151">
        <f>O13</f>
        <v>0</v>
      </c>
      <c r="Y12" s="25"/>
      <c r="AB12" s="363">
        <f t="shared" si="0"/>
        <v>0</v>
      </c>
      <c r="AC12" s="25">
        <f t="shared" si="1"/>
        <v>0</v>
      </c>
      <c r="AD12" s="25">
        <f t="shared" si="2"/>
        <v>0</v>
      </c>
      <c r="AE12" s="25">
        <f t="shared" si="4"/>
        <v>2</v>
      </c>
      <c r="AF12" s="438">
        <f t="shared" si="3"/>
        <v>0</v>
      </c>
      <c r="AH12" s="23"/>
    </row>
    <row r="13" spans="2:34" ht="12.75">
      <c r="B13" s="76" t="s">
        <v>742</v>
      </c>
      <c r="C13" s="119">
        <f>C12+C11</f>
        <v>136685</v>
      </c>
      <c r="D13" s="73"/>
      <c r="E13" s="47"/>
      <c r="F13" s="81"/>
      <c r="G13" s="82"/>
      <c r="H13" s="84"/>
      <c r="I13" s="115"/>
      <c r="J13" s="47"/>
      <c r="K13" s="93" t="s">
        <v>1181</v>
      </c>
      <c r="L13" s="117">
        <f>L11+L12</f>
        <v>9375265</v>
      </c>
      <c r="M13" s="221"/>
      <c r="N13" s="121" t="s">
        <v>742</v>
      </c>
      <c r="O13" s="119">
        <f>O12+O11</f>
        <v>0</v>
      </c>
      <c r="P13" s="73"/>
      <c r="Q13" s="47"/>
      <c r="R13" s="81"/>
      <c r="S13" s="82"/>
      <c r="T13" s="84"/>
      <c r="U13" s="115"/>
      <c r="V13" s="47"/>
      <c r="W13" s="93" t="s">
        <v>1181</v>
      </c>
      <c r="X13" s="117">
        <f>X11+X12</f>
        <v>8912420</v>
      </c>
      <c r="Y13" s="25"/>
      <c r="AB13" s="363">
        <f t="shared" si="0"/>
        <v>0</v>
      </c>
      <c r="AC13" s="25">
        <f t="shared" si="1"/>
        <v>0</v>
      </c>
      <c r="AD13" s="25">
        <f t="shared" si="2"/>
        <v>0</v>
      </c>
      <c r="AE13" s="25">
        <f t="shared" si="4"/>
        <v>2</v>
      </c>
      <c r="AF13" s="438">
        <f t="shared" si="3"/>
        <v>0</v>
      </c>
      <c r="AH13" s="23"/>
    </row>
    <row r="14" spans="2:34" ht="12.75">
      <c r="B14" s="72"/>
      <c r="C14" s="119"/>
      <c r="D14" s="73"/>
      <c r="E14" s="47"/>
      <c r="F14" s="81"/>
      <c r="G14" s="82"/>
      <c r="H14" s="82"/>
      <c r="I14" s="114"/>
      <c r="K14" s="93"/>
      <c r="L14" s="117"/>
      <c r="M14" s="221"/>
      <c r="N14" s="120"/>
      <c r="O14" s="119"/>
      <c r="P14" s="73"/>
      <c r="Q14" s="47"/>
      <c r="R14" s="81"/>
      <c r="S14" s="82"/>
      <c r="T14" s="82"/>
      <c r="U14" s="114"/>
      <c r="W14" s="93"/>
      <c r="X14" s="117"/>
      <c r="Y14" s="25"/>
      <c r="AB14" s="363">
        <f t="shared" si="0"/>
        <v>0</v>
      </c>
      <c r="AC14" s="25">
        <f t="shared" si="1"/>
        <v>0</v>
      </c>
      <c r="AD14" s="25">
        <f t="shared" si="2"/>
        <v>0</v>
      </c>
      <c r="AE14" s="25">
        <f t="shared" si="4"/>
        <v>2</v>
      </c>
      <c r="AF14" s="438">
        <f t="shared" si="3"/>
        <v>0</v>
      </c>
      <c r="AH14" s="23"/>
    </row>
    <row r="15" spans="2:34" ht="12.75">
      <c r="B15" s="72" t="s">
        <v>1178</v>
      </c>
      <c r="C15" s="122">
        <f>ProductionVendues</f>
        <v>9238580</v>
      </c>
      <c r="D15" s="73"/>
      <c r="E15" s="47"/>
      <c r="F15" s="81"/>
      <c r="G15" s="82" t="s">
        <v>1192</v>
      </c>
      <c r="H15" s="86">
        <f>AchatMat1ères</f>
        <v>3753000</v>
      </c>
      <c r="I15" s="114"/>
      <c r="K15" s="93"/>
      <c r="L15" s="117"/>
      <c r="M15" s="221"/>
      <c r="N15" s="120" t="s">
        <v>1178</v>
      </c>
      <c r="O15" s="122">
        <f>O9</f>
        <v>8912420</v>
      </c>
      <c r="P15" s="73"/>
      <c r="Q15" s="47"/>
      <c r="R15" s="81"/>
      <c r="S15" s="82"/>
      <c r="T15" s="82"/>
      <c r="U15" s="114"/>
      <c r="W15" s="93"/>
      <c r="X15" s="117"/>
      <c r="Y15" s="25"/>
      <c r="AB15" s="363" t="str">
        <f t="shared" si="0"/>
        <v>Achat de matières premières</v>
      </c>
      <c r="AC15" s="25">
        <f t="shared" si="1"/>
        <v>3753000</v>
      </c>
      <c r="AD15" s="25">
        <f t="shared" si="2"/>
        <v>3753000</v>
      </c>
      <c r="AE15" s="25">
        <f t="shared" si="4"/>
        <v>2</v>
      </c>
      <c r="AF15" s="438">
        <f t="shared" si="3"/>
        <v>3753000</v>
      </c>
      <c r="AH15" s="23"/>
    </row>
    <row r="16" spans="2:34" ht="12.75">
      <c r="B16" s="72" t="s">
        <v>1223</v>
      </c>
      <c r="C16" s="123">
        <f>StockProduct</f>
        <v>136685</v>
      </c>
      <c r="D16" s="73"/>
      <c r="E16" s="47"/>
      <c r="F16" s="81"/>
      <c r="G16" s="82" t="s">
        <v>1193</v>
      </c>
      <c r="H16" s="86">
        <f>StockMat1ères</f>
        <v>44640</v>
      </c>
      <c r="I16" s="115"/>
      <c r="J16" s="47"/>
      <c r="K16" s="93"/>
      <c r="L16" s="117"/>
      <c r="M16" s="221"/>
      <c r="N16" s="120" t="s">
        <v>1223</v>
      </c>
      <c r="O16" s="123">
        <f>O13</f>
        <v>0</v>
      </c>
      <c r="P16" s="73"/>
      <c r="Q16" s="47"/>
      <c r="R16" s="81"/>
      <c r="S16" s="82" t="s">
        <v>1192</v>
      </c>
      <c r="T16" s="86">
        <f>'R1'!D8</f>
        <v>0</v>
      </c>
      <c r="U16" s="115"/>
      <c r="V16" s="47"/>
      <c r="W16" s="93"/>
      <c r="X16" s="117"/>
      <c r="Y16" s="25"/>
      <c r="AB16" s="363" t="str">
        <f t="shared" si="0"/>
        <v>Variation des matières premières</v>
      </c>
      <c r="AC16" s="25">
        <f t="shared" si="1"/>
        <v>44640</v>
      </c>
      <c r="AD16" s="25">
        <f t="shared" si="2"/>
        <v>44640</v>
      </c>
      <c r="AE16" s="25">
        <f t="shared" si="4"/>
        <v>2</v>
      </c>
      <c r="AF16" s="438">
        <f t="shared" si="3"/>
        <v>44640</v>
      </c>
      <c r="AH16" s="23"/>
    </row>
    <row r="17" spans="2:34" ht="12.75">
      <c r="B17" s="72" t="s">
        <v>1181</v>
      </c>
      <c r="C17" s="122">
        <f>ProductionExercices</f>
        <v>9375265</v>
      </c>
      <c r="D17" s="73"/>
      <c r="E17" s="47"/>
      <c r="F17" s="81"/>
      <c r="G17" s="82" t="s">
        <v>1194</v>
      </c>
      <c r="H17" s="83">
        <f>Achat_Charges_externes</f>
        <v>463270</v>
      </c>
      <c r="I17" s="115"/>
      <c r="J17" s="47"/>
      <c r="K17" s="93"/>
      <c r="L17" s="117"/>
      <c r="M17" s="221"/>
      <c r="N17" s="120" t="s">
        <v>1181</v>
      </c>
      <c r="O17" s="122">
        <f>X13</f>
        <v>8912420</v>
      </c>
      <c r="P17" s="73"/>
      <c r="Q17" s="47"/>
      <c r="R17" s="81"/>
      <c r="S17" s="82" t="s">
        <v>1193</v>
      </c>
      <c r="T17" s="86">
        <f>'R1'!D9</f>
        <v>0</v>
      </c>
      <c r="U17" s="115"/>
      <c r="V17" s="47"/>
      <c r="W17" s="93"/>
      <c r="X17" s="117"/>
      <c r="Y17" s="25"/>
      <c r="AB17" s="363" t="str">
        <f t="shared" si="0"/>
        <v>Charges externes</v>
      </c>
      <c r="AC17" s="25">
        <f t="shared" si="1"/>
        <v>463270</v>
      </c>
      <c r="AD17" s="25">
        <f t="shared" si="2"/>
        <v>463270</v>
      </c>
      <c r="AE17" s="25">
        <f t="shared" si="4"/>
        <v>2</v>
      </c>
      <c r="AF17" s="438">
        <f t="shared" si="3"/>
        <v>463270</v>
      </c>
      <c r="AH17" s="23"/>
    </row>
    <row r="18" spans="2:34" ht="12.75">
      <c r="B18" s="72" t="s">
        <v>33</v>
      </c>
      <c r="C18" s="123">
        <f>MargeCom</f>
        <v>0</v>
      </c>
      <c r="D18" s="73"/>
      <c r="E18" s="47"/>
      <c r="F18" s="81"/>
      <c r="G18" s="82" t="s">
        <v>414</v>
      </c>
      <c r="H18" s="83">
        <f>AF18</f>
        <v>-10000</v>
      </c>
      <c r="I18" s="115"/>
      <c r="J18" s="47"/>
      <c r="K18" s="93"/>
      <c r="L18" s="117"/>
      <c r="M18" s="221"/>
      <c r="N18" s="120" t="s">
        <v>1182</v>
      </c>
      <c r="O18" s="123">
        <f>X5</f>
        <v>0</v>
      </c>
      <c r="P18" s="73"/>
      <c r="Q18" s="47"/>
      <c r="R18" s="81"/>
      <c r="S18" s="82" t="s">
        <v>1194</v>
      </c>
      <c r="T18" s="83">
        <f>'R1'!D11</f>
        <v>0</v>
      </c>
      <c r="U18" s="115"/>
      <c r="V18" s="47"/>
      <c r="W18" s="93"/>
      <c r="X18" s="117"/>
      <c r="Y18" s="25"/>
      <c r="AB18" s="363" t="s">
        <v>467</v>
      </c>
      <c r="AC18" s="25">
        <v>0</v>
      </c>
      <c r="AD18" s="158">
        <f>-Imo!D66</f>
        <v>-10000</v>
      </c>
      <c r="AE18" s="25">
        <f t="shared" si="4"/>
        <v>2</v>
      </c>
      <c r="AF18" s="438">
        <f t="shared" si="3"/>
        <v>-10000</v>
      </c>
      <c r="AH18" s="23"/>
    </row>
    <row r="19" spans="2:34" ht="12.75">
      <c r="B19" s="1976" t="s">
        <v>619</v>
      </c>
      <c r="C19" s="1953">
        <f>C17+C18</f>
        <v>9375265</v>
      </c>
      <c r="D19" s="73"/>
      <c r="E19" s="47"/>
      <c r="F19" s="81"/>
      <c r="G19" s="1950" t="s">
        <v>620</v>
      </c>
      <c r="H19" s="1952">
        <f>SUM(H15:H18)</f>
        <v>4250910</v>
      </c>
      <c r="I19" s="115"/>
      <c r="J19" s="47"/>
      <c r="K19" s="1955" t="s">
        <v>1195</v>
      </c>
      <c r="L19" s="1959">
        <f>Production-ConsoExterne</f>
        <v>5124355</v>
      </c>
      <c r="M19" s="1917">
        <v>4837112</v>
      </c>
      <c r="N19" s="1960"/>
      <c r="O19" s="1953">
        <f>O17+O18</f>
        <v>8912420</v>
      </c>
      <c r="P19" s="73"/>
      <c r="Q19" s="47"/>
      <c r="R19" s="81"/>
      <c r="S19" s="1950" t="s">
        <v>1258</v>
      </c>
      <c r="T19" s="1952">
        <f>SUM(T16:T18)</f>
        <v>0</v>
      </c>
      <c r="U19" s="115"/>
      <c r="V19" s="47"/>
      <c r="W19" s="1955" t="s">
        <v>1195</v>
      </c>
      <c r="X19" s="1959">
        <f>O19-T19</f>
        <v>8912420</v>
      </c>
      <c r="Y19" s="156"/>
      <c r="Z19" s="156"/>
      <c r="AA19" s="156"/>
      <c r="AB19" s="363" t="str">
        <f t="shared" si="0"/>
        <v>Consommation de l'exercice provenant d'un tiers (ou Charge Brut de la Valeur Ajouté)</v>
      </c>
      <c r="AC19" s="25">
        <f t="shared" si="1"/>
        <v>4250910</v>
      </c>
      <c r="AD19" s="25">
        <f t="shared" si="2"/>
        <v>4250910</v>
      </c>
      <c r="AE19" s="25">
        <f t="shared" si="4"/>
        <v>2</v>
      </c>
      <c r="AF19" s="438">
        <f t="shared" si="3"/>
        <v>4250910</v>
      </c>
      <c r="AG19" s="156"/>
      <c r="AH19" s="23"/>
    </row>
    <row r="20" spans="2:34" ht="12.75">
      <c r="B20" s="1977"/>
      <c r="C20" s="1954"/>
      <c r="D20" s="73"/>
      <c r="E20" s="47"/>
      <c r="F20" s="81"/>
      <c r="G20" s="1951"/>
      <c r="H20" s="1572"/>
      <c r="I20" s="115"/>
      <c r="J20" s="47"/>
      <c r="K20" s="1955"/>
      <c r="L20" s="1959"/>
      <c r="M20" s="1918"/>
      <c r="N20" s="1961"/>
      <c r="O20" s="1954"/>
      <c r="P20" s="73"/>
      <c r="Q20" s="47"/>
      <c r="R20" s="81"/>
      <c r="S20" s="1951"/>
      <c r="T20" s="1572"/>
      <c r="U20" s="115"/>
      <c r="V20" s="47"/>
      <c r="W20" s="1955"/>
      <c r="X20" s="1959"/>
      <c r="Y20" s="157"/>
      <c r="Z20" s="157"/>
      <c r="AA20" s="157"/>
      <c r="AB20" s="363">
        <f t="shared" si="0"/>
        <v>0</v>
      </c>
      <c r="AC20" s="25">
        <f t="shared" si="1"/>
        <v>0</v>
      </c>
      <c r="AD20" s="25">
        <f t="shared" si="2"/>
        <v>0</v>
      </c>
      <c r="AE20" s="25">
        <f t="shared" si="4"/>
        <v>2</v>
      </c>
      <c r="AF20" s="438">
        <f t="shared" si="3"/>
        <v>0</v>
      </c>
      <c r="AG20" s="157"/>
      <c r="AH20" s="46"/>
    </row>
    <row r="21" spans="2:34" ht="12.75">
      <c r="B21" s="72"/>
      <c r="C21" s="119"/>
      <c r="D21" s="74"/>
      <c r="F21" s="85"/>
      <c r="G21" s="82"/>
      <c r="H21" s="84"/>
      <c r="I21" s="114"/>
      <c r="K21" s="93"/>
      <c r="L21" s="117"/>
      <c r="M21" s="221"/>
      <c r="N21" s="120"/>
      <c r="O21" s="119"/>
      <c r="P21" s="74"/>
      <c r="R21" s="85"/>
      <c r="S21" s="82"/>
      <c r="T21" s="84"/>
      <c r="U21" s="114"/>
      <c r="W21" s="93"/>
      <c r="X21" s="117"/>
      <c r="Y21" s="25"/>
      <c r="AB21" s="363">
        <f t="shared" si="0"/>
        <v>0</v>
      </c>
      <c r="AC21" s="25">
        <f t="shared" si="1"/>
        <v>0</v>
      </c>
      <c r="AD21" s="25">
        <f t="shared" si="2"/>
        <v>0</v>
      </c>
      <c r="AE21" s="25">
        <f t="shared" si="4"/>
        <v>2</v>
      </c>
      <c r="AF21" s="438">
        <f t="shared" si="3"/>
        <v>0</v>
      </c>
      <c r="AH21" s="23"/>
    </row>
    <row r="22" spans="2:34" ht="12.75">
      <c r="B22" s="72"/>
      <c r="C22" s="119"/>
      <c r="D22" s="74"/>
      <c r="F22" s="85"/>
      <c r="G22" s="82" t="s">
        <v>1198</v>
      </c>
      <c r="H22" s="86">
        <f>Salaire_traitements</f>
        <v>2822650</v>
      </c>
      <c r="I22" s="115"/>
      <c r="J22" s="47"/>
      <c r="K22" s="93"/>
      <c r="L22" s="117"/>
      <c r="M22" s="221"/>
      <c r="N22" s="120"/>
      <c r="O22" s="119"/>
      <c r="P22" s="74"/>
      <c r="R22" s="85"/>
      <c r="S22" s="82" t="s">
        <v>1198</v>
      </c>
      <c r="T22" s="86">
        <f>'R1'!D14</f>
        <v>0</v>
      </c>
      <c r="U22" s="115"/>
      <c r="V22" s="47"/>
      <c r="W22" s="93"/>
      <c r="X22" s="117"/>
      <c r="Y22" s="25"/>
      <c r="AB22" s="363" t="str">
        <f t="shared" si="0"/>
        <v>Salaire et traitements</v>
      </c>
      <c r="AC22" s="25">
        <f t="shared" si="1"/>
        <v>2822650</v>
      </c>
      <c r="AD22" s="25">
        <f t="shared" si="2"/>
        <v>2822650</v>
      </c>
      <c r="AE22" s="25">
        <f t="shared" si="4"/>
        <v>2</v>
      </c>
      <c r="AF22" s="438">
        <f t="shared" si="3"/>
        <v>2822650</v>
      </c>
      <c r="AH22" s="23"/>
    </row>
    <row r="23" spans="2:34" ht="12.75">
      <c r="B23" s="72"/>
      <c r="C23" s="119"/>
      <c r="D23" s="74"/>
      <c r="F23" s="85"/>
      <c r="G23" s="82" t="s">
        <v>1171</v>
      </c>
      <c r="H23" s="83">
        <f>Charges_sociales</f>
        <v>1203835</v>
      </c>
      <c r="I23" s="115"/>
      <c r="J23" s="47"/>
      <c r="K23" s="93"/>
      <c r="L23" s="117"/>
      <c r="M23" s="221"/>
      <c r="N23" s="120"/>
      <c r="O23" s="119"/>
      <c r="P23" s="74"/>
      <c r="R23" s="85"/>
      <c r="S23" s="82" t="s">
        <v>1171</v>
      </c>
      <c r="T23" s="83">
        <f>'R1'!D15</f>
        <v>0</v>
      </c>
      <c r="U23" s="115"/>
      <c r="V23" s="47"/>
      <c r="W23" s="93"/>
      <c r="X23" s="117"/>
      <c r="Y23" s="25"/>
      <c r="AB23" s="363" t="str">
        <f t="shared" si="0"/>
        <v>Charges sociales</v>
      </c>
      <c r="AC23" s="25">
        <f t="shared" si="1"/>
        <v>1203835</v>
      </c>
      <c r="AD23" s="25">
        <f t="shared" si="2"/>
        <v>1203835</v>
      </c>
      <c r="AE23" s="25">
        <f t="shared" si="4"/>
        <v>2</v>
      </c>
      <c r="AF23" s="438">
        <f t="shared" si="3"/>
        <v>1203835</v>
      </c>
      <c r="AH23" s="23"/>
    </row>
    <row r="24" spans="2:34" ht="12.75">
      <c r="B24" s="72"/>
      <c r="C24" s="119"/>
      <c r="D24" s="74"/>
      <c r="F24" s="85"/>
      <c r="G24" s="79" t="s">
        <v>1199</v>
      </c>
      <c r="H24" s="84">
        <f>SUM(H22:H23)</f>
        <v>4026485</v>
      </c>
      <c r="I24" s="115"/>
      <c r="J24" s="47"/>
      <c r="K24" s="93"/>
      <c r="L24" s="117"/>
      <c r="M24" s="221"/>
      <c r="N24" s="120"/>
      <c r="O24" s="119"/>
      <c r="P24" s="74"/>
      <c r="R24" s="85"/>
      <c r="S24" s="79" t="s">
        <v>1199</v>
      </c>
      <c r="T24" s="84">
        <f>T23+T22</f>
        <v>0</v>
      </c>
      <c r="U24" s="115"/>
      <c r="V24" s="47"/>
      <c r="W24" s="93"/>
      <c r="X24" s="117"/>
      <c r="Y24" s="25"/>
      <c r="AB24" s="363" t="str">
        <f t="shared" si="0"/>
        <v>Charges de peronnel</v>
      </c>
      <c r="AC24" s="25">
        <f t="shared" si="1"/>
        <v>4026485</v>
      </c>
      <c r="AD24" s="25">
        <f t="shared" si="2"/>
        <v>4026485</v>
      </c>
      <c r="AE24" s="25">
        <f t="shared" si="4"/>
        <v>2</v>
      </c>
      <c r="AF24" s="438">
        <f t="shared" si="3"/>
        <v>4026485</v>
      </c>
      <c r="AH24" s="23"/>
    </row>
    <row r="25" spans="2:34" ht="12.75">
      <c r="B25" s="72"/>
      <c r="C25" s="119"/>
      <c r="D25" s="74"/>
      <c r="F25" s="85"/>
      <c r="G25" s="82"/>
      <c r="H25" s="82"/>
      <c r="I25" s="114"/>
      <c r="K25" s="93"/>
      <c r="L25" s="117"/>
      <c r="M25" s="221"/>
      <c r="N25" s="120"/>
      <c r="O25" s="119"/>
      <c r="P25" s="74"/>
      <c r="R25" s="85"/>
      <c r="S25" s="82"/>
      <c r="T25" s="82"/>
      <c r="U25" s="114"/>
      <c r="W25" s="93"/>
      <c r="X25" s="117"/>
      <c r="Y25" s="25"/>
      <c r="AB25" s="363">
        <f t="shared" si="0"/>
        <v>0</v>
      </c>
      <c r="AC25" s="25">
        <f t="shared" si="1"/>
        <v>0</v>
      </c>
      <c r="AD25" s="25">
        <f t="shared" si="2"/>
        <v>0</v>
      </c>
      <c r="AE25" s="25">
        <f t="shared" si="4"/>
        <v>2</v>
      </c>
      <c r="AF25" s="438">
        <f t="shared" si="3"/>
        <v>0</v>
      </c>
      <c r="AH25" s="23"/>
    </row>
    <row r="26" spans="2:34" ht="12.75">
      <c r="B26" s="72" t="s">
        <v>1196</v>
      </c>
      <c r="C26" s="122">
        <f>VA</f>
        <v>5124355</v>
      </c>
      <c r="D26" s="73"/>
      <c r="E26" s="47"/>
      <c r="F26" s="81"/>
      <c r="G26" s="82" t="s">
        <v>1200</v>
      </c>
      <c r="H26" s="86">
        <f>Impot_Taxe_Versmt</f>
        <v>305837</v>
      </c>
      <c r="I26" s="115"/>
      <c r="J26" s="47"/>
      <c r="K26" s="93"/>
      <c r="L26" s="117"/>
      <c r="M26" s="221"/>
      <c r="N26" s="120" t="s">
        <v>1196</v>
      </c>
      <c r="O26" s="122">
        <f>X19</f>
        <v>8912420</v>
      </c>
      <c r="P26" s="73"/>
      <c r="Q26" s="47"/>
      <c r="R26" s="81"/>
      <c r="S26" s="82" t="s">
        <v>1200</v>
      </c>
      <c r="T26" s="86">
        <f>'R1'!D13</f>
        <v>0</v>
      </c>
      <c r="U26" s="115"/>
      <c r="V26" s="47"/>
      <c r="W26" s="93"/>
      <c r="X26" s="117"/>
      <c r="Y26" s="25"/>
      <c r="AB26" s="363" t="str">
        <f t="shared" si="0"/>
        <v>Impôts, taxes et versement assimilés</v>
      </c>
      <c r="AC26" s="25">
        <f t="shared" si="1"/>
        <v>305837</v>
      </c>
      <c r="AD26" s="25">
        <f t="shared" si="2"/>
        <v>305837</v>
      </c>
      <c r="AE26" s="25">
        <f t="shared" si="4"/>
        <v>2</v>
      </c>
      <c r="AF26" s="438">
        <f t="shared" si="3"/>
        <v>305837</v>
      </c>
      <c r="AH26" s="23"/>
    </row>
    <row r="27" spans="2:34" ht="12.75">
      <c r="B27" s="72" t="s">
        <v>1002</v>
      </c>
      <c r="C27" s="123">
        <f>Subvention</f>
        <v>0</v>
      </c>
      <c r="D27" s="73"/>
      <c r="E27" s="47"/>
      <c r="F27" s="81"/>
      <c r="G27" s="82" t="s">
        <v>1197</v>
      </c>
      <c r="H27" s="83">
        <f>CP</f>
        <v>4026485</v>
      </c>
      <c r="I27" s="115"/>
      <c r="J27" s="47"/>
      <c r="K27" s="93"/>
      <c r="L27" s="117"/>
      <c r="M27" s="221"/>
      <c r="N27" s="120" t="s">
        <v>1002</v>
      </c>
      <c r="O27" s="123">
        <f>Subvention</f>
        <v>0</v>
      </c>
      <c r="P27" s="73"/>
      <c r="Q27" s="47"/>
      <c r="R27" s="81"/>
      <c r="S27" s="82" t="s">
        <v>1197</v>
      </c>
      <c r="T27" s="83">
        <f>T24</f>
        <v>0</v>
      </c>
      <c r="U27" s="115"/>
      <c r="V27" s="47"/>
      <c r="W27" s="93"/>
      <c r="X27" s="117"/>
      <c r="Y27" s="25"/>
      <c r="AB27" s="363" t="str">
        <f t="shared" si="0"/>
        <v>Charges de personnel</v>
      </c>
      <c r="AC27" s="25">
        <f t="shared" si="1"/>
        <v>4026485</v>
      </c>
      <c r="AD27" s="25">
        <f t="shared" si="2"/>
        <v>4026485</v>
      </c>
      <c r="AE27" s="25">
        <f t="shared" si="4"/>
        <v>2</v>
      </c>
      <c r="AF27" s="438">
        <f t="shared" si="3"/>
        <v>4026485</v>
      </c>
      <c r="AH27" s="23"/>
    </row>
    <row r="28" spans="2:34" ht="12.75">
      <c r="B28" s="70" t="s">
        <v>617</v>
      </c>
      <c r="C28" s="119">
        <f>SUM(C26:C27)</f>
        <v>5124355</v>
      </c>
      <c r="D28" s="73"/>
      <c r="E28" s="47"/>
      <c r="F28" s="81"/>
      <c r="G28" s="79" t="s">
        <v>618</v>
      </c>
      <c r="H28" s="84">
        <f>SUM(H26:H27)</f>
        <v>4332322</v>
      </c>
      <c r="I28" s="115"/>
      <c r="J28" s="47"/>
      <c r="K28" s="93" t="s">
        <v>1224</v>
      </c>
      <c r="L28" s="117">
        <f>C28-H28</f>
        <v>792033</v>
      </c>
      <c r="M28" s="223">
        <f>X28</f>
        <v>8912420</v>
      </c>
      <c r="N28" s="228"/>
      <c r="O28" s="119">
        <f>O26+O27</f>
        <v>8912420</v>
      </c>
      <c r="P28" s="73"/>
      <c r="Q28" s="47"/>
      <c r="R28" s="81"/>
      <c r="S28" s="79"/>
      <c r="T28" s="84">
        <f>T26+T27</f>
        <v>0</v>
      </c>
      <c r="U28" s="115"/>
      <c r="V28" s="47"/>
      <c r="W28" s="93" t="s">
        <v>1224</v>
      </c>
      <c r="X28" s="117">
        <f>O28-T28</f>
        <v>8912420</v>
      </c>
      <c r="Y28" s="158"/>
      <c r="Z28" s="158"/>
      <c r="AA28" s="158"/>
      <c r="AB28" s="363" t="str">
        <f t="shared" si="0"/>
        <v>charges brut d'exploitation</v>
      </c>
      <c r="AC28" s="25">
        <f t="shared" si="1"/>
        <v>4332322</v>
      </c>
      <c r="AD28" s="25">
        <f t="shared" si="2"/>
        <v>4332322</v>
      </c>
      <c r="AE28" s="25">
        <f t="shared" si="4"/>
        <v>2</v>
      </c>
      <c r="AF28" s="438">
        <f t="shared" si="3"/>
        <v>4332322</v>
      </c>
      <c r="AG28" s="158"/>
      <c r="AH28" s="23"/>
    </row>
    <row r="29" spans="2:34" ht="12.75">
      <c r="B29" s="72"/>
      <c r="C29" s="119"/>
      <c r="D29" s="73"/>
      <c r="E29" s="47"/>
      <c r="F29" s="81"/>
      <c r="G29" s="82"/>
      <c r="H29" s="84"/>
      <c r="I29" s="115"/>
      <c r="J29" s="47"/>
      <c r="K29" s="93"/>
      <c r="L29" s="117"/>
      <c r="M29" s="221"/>
      <c r="N29" s="120"/>
      <c r="O29" s="119"/>
      <c r="P29" s="73"/>
      <c r="Q29" s="47"/>
      <c r="R29" s="81"/>
      <c r="S29" s="82"/>
      <c r="T29" s="84"/>
      <c r="U29" s="115"/>
      <c r="V29" s="47"/>
      <c r="W29" s="93"/>
      <c r="X29" s="117"/>
      <c r="Y29" s="25"/>
      <c r="AB29" s="363">
        <f t="shared" si="0"/>
        <v>0</v>
      </c>
      <c r="AC29" s="25">
        <f t="shared" si="1"/>
        <v>0</v>
      </c>
      <c r="AD29" s="25">
        <f t="shared" si="2"/>
        <v>0</v>
      </c>
      <c r="AE29" s="25">
        <f t="shared" si="4"/>
        <v>2</v>
      </c>
      <c r="AF29" s="438">
        <f t="shared" si="3"/>
        <v>0</v>
      </c>
      <c r="AH29" s="23"/>
    </row>
    <row r="30" spans="2:34" ht="12.75">
      <c r="B30" s="72"/>
      <c r="C30" s="119"/>
      <c r="D30" s="74"/>
      <c r="F30" s="85"/>
      <c r="G30" s="88" t="s">
        <v>1205</v>
      </c>
      <c r="H30" s="86">
        <f>Dot_Ammt_Immo</f>
        <v>82260</v>
      </c>
      <c r="I30" s="114"/>
      <c r="K30" s="93"/>
      <c r="L30" s="117"/>
      <c r="M30" s="221"/>
      <c r="N30" s="120"/>
      <c r="O30" s="119"/>
      <c r="P30" s="74"/>
      <c r="R30" s="85"/>
      <c r="S30" s="88" t="s">
        <v>1205</v>
      </c>
      <c r="T30" s="86">
        <f>'R1'!D18</f>
        <v>0</v>
      </c>
      <c r="U30" s="114"/>
      <c r="W30" s="93"/>
      <c r="X30" s="117"/>
      <c r="Y30" s="25"/>
      <c r="AB30" s="363" t="str">
        <f t="shared" si="0"/>
        <v> dotation aux amortissements / Immos</v>
      </c>
      <c r="AC30" s="25">
        <f t="shared" si="1"/>
        <v>82260</v>
      </c>
      <c r="AD30" s="25">
        <f t="shared" si="2"/>
        <v>82260</v>
      </c>
      <c r="AE30" s="25">
        <f t="shared" si="4"/>
        <v>2</v>
      </c>
      <c r="AF30" s="438">
        <f t="shared" si="3"/>
        <v>82260</v>
      </c>
      <c r="AH30" s="23"/>
    </row>
    <row r="31" spans="2:34" ht="12.75">
      <c r="B31" s="72"/>
      <c r="C31" s="119"/>
      <c r="D31" s="73"/>
      <c r="F31" s="85"/>
      <c r="G31" s="88" t="s">
        <v>1207</v>
      </c>
      <c r="H31" s="86">
        <f>Dot_Prov_Immo</f>
        <v>0</v>
      </c>
      <c r="I31" s="114"/>
      <c r="K31" s="93"/>
      <c r="L31" s="117"/>
      <c r="M31" s="221"/>
      <c r="N31" s="120"/>
      <c r="O31" s="119"/>
      <c r="P31" s="73"/>
      <c r="R31" s="85"/>
      <c r="S31" s="88" t="s">
        <v>1207</v>
      </c>
      <c r="T31" s="86">
        <f>'R1'!D19</f>
        <v>0</v>
      </c>
      <c r="U31" s="114"/>
      <c r="W31" s="93"/>
      <c r="X31" s="117"/>
      <c r="Y31" s="25"/>
      <c r="AB31" s="363" t="str">
        <f aca="true" t="shared" si="5" ref="AB31:AB37">G31</f>
        <v> dotations aux provision / Immos</v>
      </c>
      <c r="AC31" s="25">
        <f aca="true" t="shared" si="6" ref="AC31:AC37">H31</f>
        <v>0</v>
      </c>
      <c r="AD31" s="25">
        <f t="shared" si="2"/>
        <v>0</v>
      </c>
      <c r="AE31" s="25">
        <f aca="true" t="shared" si="7" ref="AE31:AE37">AE30</f>
        <v>2</v>
      </c>
      <c r="AF31" s="438">
        <f aca="true" t="shared" si="8" ref="AF31:AF37">IF(AE31=1,AC31,IF(AE31=2,AD31))</f>
        <v>0</v>
      </c>
      <c r="AH31" s="23"/>
    </row>
    <row r="32" spans="2:34" ht="12.75">
      <c r="B32" s="72"/>
      <c r="C32" s="119"/>
      <c r="D32" s="74"/>
      <c r="F32" s="85"/>
      <c r="G32" s="88" t="s">
        <v>1208</v>
      </c>
      <c r="H32" s="86">
        <f>Dot_Amm_AC</f>
        <v>52500</v>
      </c>
      <c r="I32" s="114"/>
      <c r="K32" s="93"/>
      <c r="L32" s="117"/>
      <c r="M32" s="221"/>
      <c r="N32" s="120"/>
      <c r="O32" s="119"/>
      <c r="P32" s="74"/>
      <c r="R32" s="85"/>
      <c r="S32" s="88" t="s">
        <v>1208</v>
      </c>
      <c r="T32" s="86">
        <f>'R1'!D20</f>
        <v>0</v>
      </c>
      <c r="U32" s="114"/>
      <c r="W32" s="93"/>
      <c r="X32" s="117"/>
      <c r="Y32" s="25"/>
      <c r="AB32" s="363" t="str">
        <f t="shared" si="5"/>
        <v> dotation aux amortissements / Actif circ.</v>
      </c>
      <c r="AC32" s="25">
        <f t="shared" si="6"/>
        <v>52500</v>
      </c>
      <c r="AD32" s="25">
        <f t="shared" si="2"/>
        <v>52500</v>
      </c>
      <c r="AE32" s="25">
        <f t="shared" si="7"/>
        <v>2</v>
      </c>
      <c r="AF32" s="438">
        <f t="shared" si="8"/>
        <v>52500</v>
      </c>
      <c r="AH32" s="23"/>
    </row>
    <row r="33" spans="2:34" ht="12.75">
      <c r="B33" s="72" t="s">
        <v>1201</v>
      </c>
      <c r="C33" s="122">
        <f>EBE</f>
        <v>792033</v>
      </c>
      <c r="D33" s="73"/>
      <c r="F33" s="85"/>
      <c r="G33" s="88" t="s">
        <v>1206</v>
      </c>
      <c r="H33" s="84">
        <f>Dot_Prov_AC</f>
        <v>3000</v>
      </c>
      <c r="I33" s="114"/>
      <c r="K33" s="93"/>
      <c r="L33" s="117"/>
      <c r="M33" s="221"/>
      <c r="N33" s="120" t="s">
        <v>1201</v>
      </c>
      <c r="O33" s="122">
        <f>X28</f>
        <v>8912420</v>
      </c>
      <c r="P33" s="73"/>
      <c r="R33" s="85"/>
      <c r="S33" s="89" t="s">
        <v>1206</v>
      </c>
      <c r="T33" s="83">
        <f>'R1'!D21</f>
        <v>0</v>
      </c>
      <c r="U33" s="114"/>
      <c r="W33" s="93"/>
      <c r="X33" s="117"/>
      <c r="Y33" s="25"/>
      <c r="AB33" s="363" t="str">
        <f t="shared" si="5"/>
        <v> dotations aux provision / Actif circulants</v>
      </c>
      <c r="AC33" s="25">
        <f t="shared" si="6"/>
        <v>3000</v>
      </c>
      <c r="AD33" s="25">
        <f t="shared" si="2"/>
        <v>3000</v>
      </c>
      <c r="AE33" s="25">
        <f t="shared" si="7"/>
        <v>2</v>
      </c>
      <c r="AF33" s="438">
        <f t="shared" si="8"/>
        <v>3000</v>
      </c>
      <c r="AH33" s="23"/>
    </row>
    <row r="34" spans="2:34" ht="12.75">
      <c r="B34" s="72" t="s">
        <v>1202</v>
      </c>
      <c r="C34" s="122">
        <f>RepriseAmmProvTransfertChge</f>
        <v>47500</v>
      </c>
      <c r="D34" s="73"/>
      <c r="F34" s="85"/>
      <c r="G34" s="91" t="s">
        <v>686</v>
      </c>
      <c r="H34" s="83">
        <f>AF34</f>
        <v>8000</v>
      </c>
      <c r="I34" s="114"/>
      <c r="K34" s="93"/>
      <c r="L34" s="117"/>
      <c r="M34" s="221"/>
      <c r="N34" s="120" t="s">
        <v>1202</v>
      </c>
      <c r="O34" s="122">
        <f>'R1'!J14</f>
        <v>0</v>
      </c>
      <c r="P34" s="73"/>
      <c r="R34" s="85"/>
      <c r="S34" s="82" t="s">
        <v>1204</v>
      </c>
      <c r="T34" s="84">
        <f>SUM(T30:T33)</f>
        <v>0</v>
      </c>
      <c r="U34" s="114"/>
      <c r="W34" s="93"/>
      <c r="X34" s="117"/>
      <c r="Y34" s="25"/>
      <c r="AB34" s="363" t="str">
        <f t="shared" si="5"/>
        <v>Part équivalente de l'annuité de l'amortissemt</v>
      </c>
      <c r="AD34" s="158">
        <f>Imo!D72</f>
        <v>8000</v>
      </c>
      <c r="AE34" s="25">
        <f t="shared" si="7"/>
        <v>2</v>
      </c>
      <c r="AF34" s="438">
        <f t="shared" si="8"/>
        <v>8000</v>
      </c>
      <c r="AH34" s="23"/>
    </row>
    <row r="35" spans="2:34" ht="12.75">
      <c r="B35" s="72"/>
      <c r="C35" s="119"/>
      <c r="D35" s="73"/>
      <c r="F35" s="85"/>
      <c r="G35" s="79" t="s">
        <v>1204</v>
      </c>
      <c r="H35" s="87">
        <f>SUM(H30:H34)</f>
        <v>145760</v>
      </c>
      <c r="I35" s="114"/>
      <c r="K35" s="93"/>
      <c r="L35" s="117"/>
      <c r="M35" s="221"/>
      <c r="N35" s="120"/>
      <c r="O35" s="119"/>
      <c r="P35" s="73"/>
      <c r="R35" s="85"/>
      <c r="S35" s="82"/>
      <c r="T35" s="84"/>
      <c r="U35" s="114"/>
      <c r="W35" s="93"/>
      <c r="X35" s="117"/>
      <c r="Y35" s="25"/>
      <c r="AB35" s="363" t="str">
        <f t="shared" si="5"/>
        <v>Dotation aux ammortissement</v>
      </c>
      <c r="AC35" s="25">
        <f t="shared" si="6"/>
        <v>145760</v>
      </c>
      <c r="AD35" s="25">
        <f t="shared" si="2"/>
        <v>145760</v>
      </c>
      <c r="AE35" s="25">
        <f t="shared" si="7"/>
        <v>2</v>
      </c>
      <c r="AF35" s="438">
        <f t="shared" si="8"/>
        <v>145760</v>
      </c>
      <c r="AH35" s="23"/>
    </row>
    <row r="36" spans="2:34" ht="12.75">
      <c r="B36" s="72" t="s">
        <v>1203</v>
      </c>
      <c r="C36" s="119">
        <f>AutreProduit</f>
        <v>32350</v>
      </c>
      <c r="D36" s="73"/>
      <c r="F36" s="85"/>
      <c r="G36" s="88" t="s">
        <v>1005</v>
      </c>
      <c r="H36" s="84">
        <f>'R1'!C22</f>
        <v>44925</v>
      </c>
      <c r="I36" s="114"/>
      <c r="K36" s="93"/>
      <c r="L36" s="117"/>
      <c r="M36" s="221"/>
      <c r="N36" s="120" t="s">
        <v>1203</v>
      </c>
      <c r="O36" s="119">
        <f>'R1'!J15</f>
        <v>0</v>
      </c>
      <c r="P36" s="73"/>
      <c r="R36" s="85"/>
      <c r="S36" s="88" t="s">
        <v>1005</v>
      </c>
      <c r="T36" s="84">
        <f>'R1'!D22</f>
        <v>0</v>
      </c>
      <c r="U36" s="114"/>
      <c r="W36" s="93"/>
      <c r="X36" s="117"/>
      <c r="Y36" s="25"/>
      <c r="AB36" s="363" t="str">
        <f t="shared" si="5"/>
        <v>Autres charges</v>
      </c>
      <c r="AC36" s="25">
        <f t="shared" si="6"/>
        <v>44925</v>
      </c>
      <c r="AD36" s="25">
        <f t="shared" si="2"/>
        <v>44925</v>
      </c>
      <c r="AE36" s="25">
        <f t="shared" si="7"/>
        <v>2</v>
      </c>
      <c r="AF36" s="438">
        <f t="shared" si="8"/>
        <v>44925</v>
      </c>
      <c r="AH36" s="23"/>
    </row>
    <row r="37" spans="2:34" ht="12.75">
      <c r="B37" s="70"/>
      <c r="C37" s="121">
        <f>SUM(C33:C36)</f>
        <v>871883</v>
      </c>
      <c r="D37" s="73"/>
      <c r="F37" s="85"/>
      <c r="G37" s="79" t="s">
        <v>1227</v>
      </c>
      <c r="H37" s="87">
        <f>H35+H36</f>
        <v>190685</v>
      </c>
      <c r="I37" s="114"/>
      <c r="K37" s="93" t="s">
        <v>1209</v>
      </c>
      <c r="L37" s="117">
        <f>C37-H37</f>
        <v>681198</v>
      </c>
      <c r="M37" s="223">
        <f>X37</f>
        <v>8912420</v>
      </c>
      <c r="N37" s="228"/>
      <c r="O37" s="121">
        <f>SUM(O33:O36)</f>
        <v>8912420</v>
      </c>
      <c r="P37" s="73"/>
      <c r="R37" s="85"/>
      <c r="S37" s="79"/>
      <c r="T37" s="87">
        <f>T34+T36</f>
        <v>0</v>
      </c>
      <c r="U37" s="114"/>
      <c r="W37" s="93" t="s">
        <v>1209</v>
      </c>
      <c r="X37" s="117">
        <f>O37-T37</f>
        <v>8912420</v>
      </c>
      <c r="Y37" s="158"/>
      <c r="Z37" s="158"/>
      <c r="AA37" s="158"/>
      <c r="AB37" s="363" t="str">
        <f t="shared" si="5"/>
        <v>Charges financières</v>
      </c>
      <c r="AC37" s="25">
        <f t="shared" si="6"/>
        <v>190685</v>
      </c>
      <c r="AD37" s="25">
        <f t="shared" si="2"/>
        <v>190685</v>
      </c>
      <c r="AE37" s="25">
        <f t="shared" si="7"/>
        <v>2</v>
      </c>
      <c r="AF37" s="438">
        <f t="shared" si="8"/>
        <v>190685</v>
      </c>
      <c r="AG37" s="158"/>
      <c r="AH37" s="23"/>
    </row>
    <row r="38" spans="2:34" ht="12.75">
      <c r="B38" s="77"/>
      <c r="C38" s="123"/>
      <c r="D38" s="75"/>
      <c r="F38" s="90"/>
      <c r="G38" s="91"/>
      <c r="H38" s="83"/>
      <c r="I38" s="116"/>
      <c r="K38" s="94"/>
      <c r="L38" s="152"/>
      <c r="M38" s="821"/>
      <c r="N38" s="120"/>
      <c r="O38" s="119"/>
      <c r="P38" s="119"/>
      <c r="R38" s="82"/>
      <c r="S38" s="82"/>
      <c r="T38" s="84"/>
      <c r="U38" s="82"/>
      <c r="W38" s="220"/>
      <c r="X38" s="117"/>
      <c r="Y38" s="158"/>
      <c r="Z38" s="158"/>
      <c r="AA38" s="158"/>
      <c r="AB38" s="363">
        <f aca="true" t="shared" si="9" ref="AB38:AB53">G38</f>
        <v>0</v>
      </c>
      <c r="AC38" s="25">
        <f aca="true" t="shared" si="10" ref="AC38:AC52">H38</f>
        <v>0</v>
      </c>
      <c r="AD38" s="25">
        <f t="shared" si="2"/>
        <v>0</v>
      </c>
      <c r="AE38" s="25">
        <f aca="true" t="shared" si="11" ref="AE38:AE57">AE37</f>
        <v>2</v>
      </c>
      <c r="AF38" s="438">
        <f aca="true" t="shared" si="12" ref="AF38:AF57">IF(AE38=1,AC38,IF(AE38=2,AD38))</f>
        <v>0</v>
      </c>
      <c r="AG38" s="158"/>
      <c r="AH38" s="23"/>
    </row>
    <row r="39" spans="2:34" s="8" customFormat="1" ht="12.75">
      <c r="B39" s="1969" t="s">
        <v>1215</v>
      </c>
      <c r="C39" s="1970"/>
      <c r="D39" s="1970"/>
      <c r="E39" s="1931"/>
      <c r="F39" s="1970"/>
      <c r="G39" s="1970"/>
      <c r="H39" s="1970"/>
      <c r="I39" s="1970"/>
      <c r="J39" s="1931"/>
      <c r="K39" s="1931"/>
      <c r="L39" s="1931"/>
      <c r="M39" s="1971"/>
      <c r="N39" s="1931" t="s">
        <v>31</v>
      </c>
      <c r="O39" s="1931"/>
      <c r="P39" s="1931"/>
      <c r="Q39" s="1931"/>
      <c r="R39" s="1931"/>
      <c r="S39" s="1931"/>
      <c r="T39" s="1931"/>
      <c r="U39" s="1931"/>
      <c r="V39" s="1931"/>
      <c r="W39" s="1931"/>
      <c r="X39" s="1931"/>
      <c r="Y39" s="25"/>
      <c r="Z39" s="25"/>
      <c r="AA39" s="25"/>
      <c r="AB39" s="363">
        <f t="shared" si="9"/>
        <v>0</v>
      </c>
      <c r="AC39" s="25">
        <f t="shared" si="10"/>
        <v>0</v>
      </c>
      <c r="AD39" s="25">
        <f t="shared" si="2"/>
        <v>0</v>
      </c>
      <c r="AE39" s="25">
        <f t="shared" si="11"/>
        <v>2</v>
      </c>
      <c r="AF39" s="438">
        <f t="shared" si="12"/>
        <v>0</v>
      </c>
      <c r="AG39" s="25"/>
      <c r="AH39" s="23"/>
    </row>
    <row r="40" spans="2:34" ht="12.75">
      <c r="B40" s="1933" t="s">
        <v>1260</v>
      </c>
      <c r="C40" s="1934"/>
      <c r="D40" s="1972"/>
      <c r="E40" s="730"/>
      <c r="F40" s="1935" t="s">
        <v>1261</v>
      </c>
      <c r="G40" s="1936"/>
      <c r="H40" s="1936"/>
      <c r="I40" s="1937"/>
      <c r="J40" s="730"/>
      <c r="K40" s="1973" t="s">
        <v>1259</v>
      </c>
      <c r="L40" s="1974"/>
      <c r="M40" s="1975"/>
      <c r="N40" s="1861" t="str">
        <f>N1</f>
        <v>Produits du compte de résultat</v>
      </c>
      <c r="O40" s="1861"/>
      <c r="P40" s="71"/>
      <c r="Q40" s="69"/>
      <c r="R40" s="1956" t="str">
        <f>R1</f>
        <v>Charges du compte de résultat</v>
      </c>
      <c r="S40" s="1957"/>
      <c r="T40" s="1957"/>
      <c r="U40" s="1958"/>
      <c r="V40" s="69"/>
      <c r="W40" s="1938" t="str">
        <f>W1</f>
        <v>Soldes intermédiaire de gestion du résultat</v>
      </c>
      <c r="X40" s="1962"/>
      <c r="Y40" s="25"/>
      <c r="AB40" s="363">
        <f t="shared" si="9"/>
        <v>0</v>
      </c>
      <c r="AC40" s="25">
        <f t="shared" si="10"/>
        <v>0</v>
      </c>
      <c r="AD40" s="25">
        <f t="shared" si="2"/>
        <v>0</v>
      </c>
      <c r="AE40" s="25">
        <f t="shared" si="11"/>
        <v>2</v>
      </c>
      <c r="AF40" s="438">
        <f t="shared" si="12"/>
        <v>0</v>
      </c>
      <c r="AH40" s="23"/>
    </row>
    <row r="41" spans="2:34" ht="12.75">
      <c r="B41" s="137"/>
      <c r="C41" s="118"/>
      <c r="D41" s="73"/>
      <c r="E41" s="44"/>
      <c r="F41" s="34"/>
      <c r="G41" s="35"/>
      <c r="H41" s="35"/>
      <c r="I41" s="36"/>
      <c r="J41" s="44"/>
      <c r="K41" s="509"/>
      <c r="L41" s="510" t="s">
        <v>29</v>
      </c>
      <c r="M41" s="508" t="s">
        <v>30</v>
      </c>
      <c r="N41" s="118"/>
      <c r="O41" s="118"/>
      <c r="P41" s="73"/>
      <c r="Q41" s="44"/>
      <c r="R41" s="34"/>
      <c r="S41" s="35"/>
      <c r="T41" s="35"/>
      <c r="U41" s="36"/>
      <c r="V41" s="44"/>
      <c r="W41" s="129"/>
      <c r="X41" s="134"/>
      <c r="Y41" s="25"/>
      <c r="AB41" s="363">
        <f t="shared" si="9"/>
        <v>0</v>
      </c>
      <c r="AC41" s="25">
        <f t="shared" si="10"/>
        <v>0</v>
      </c>
      <c r="AD41" s="25">
        <f t="shared" si="2"/>
        <v>0</v>
      </c>
      <c r="AE41" s="25">
        <f t="shared" si="11"/>
        <v>2</v>
      </c>
      <c r="AF41" s="438">
        <f t="shared" si="12"/>
        <v>0</v>
      </c>
      <c r="AH41" s="23"/>
    </row>
    <row r="42" spans="2:34" ht="12.75">
      <c r="B42" s="72" t="str">
        <f>'R1'!F32</f>
        <v>De participations</v>
      </c>
      <c r="C42" s="119">
        <f>Participation</f>
        <v>3800</v>
      </c>
      <c r="D42" s="73"/>
      <c r="E42" s="44"/>
      <c r="F42" s="34"/>
      <c r="G42" s="82"/>
      <c r="H42" s="82">
        <f>'R1'!G32</f>
        <v>0</v>
      </c>
      <c r="I42" s="114"/>
      <c r="K42" s="504"/>
      <c r="L42" s="511"/>
      <c r="M42" s="503"/>
      <c r="N42" s="120" t="s">
        <v>1011</v>
      </c>
      <c r="O42" s="122">
        <f>'R1'!J32</f>
        <v>0</v>
      </c>
      <c r="P42" s="73"/>
      <c r="Q42" s="44"/>
      <c r="R42" s="34"/>
      <c r="S42" s="135"/>
      <c r="T42" s="82">
        <f>'R1'!S32</f>
        <v>0</v>
      </c>
      <c r="U42" s="114"/>
      <c r="W42" s="93"/>
      <c r="X42" s="117"/>
      <c r="Y42" s="25"/>
      <c r="AB42" s="363">
        <f t="shared" si="9"/>
        <v>0</v>
      </c>
      <c r="AC42" s="25">
        <f t="shared" si="10"/>
        <v>0</v>
      </c>
      <c r="AD42" s="25">
        <f t="shared" si="2"/>
        <v>0</v>
      </c>
      <c r="AE42" s="25">
        <f t="shared" si="11"/>
        <v>2</v>
      </c>
      <c r="AF42" s="438">
        <f t="shared" si="12"/>
        <v>0</v>
      </c>
      <c r="AH42" s="23"/>
    </row>
    <row r="43" spans="2:34" ht="12.75">
      <c r="B43" s="72" t="str">
        <f>'R1'!F33</f>
        <v>D'autres valeurs mobilières et créances de l'actif immo</v>
      </c>
      <c r="C43" s="119">
        <f>Autre_VM_CréanceImmo</f>
        <v>3500</v>
      </c>
      <c r="D43" s="73"/>
      <c r="E43" s="44"/>
      <c r="F43" s="34"/>
      <c r="G43" s="82" t="str">
        <f>'R1'!A32</f>
        <v>Dotations aux amortissements et aux provisions</v>
      </c>
      <c r="H43" s="84">
        <f>Dot_Amm_Prov_Fin</f>
        <v>1800</v>
      </c>
      <c r="I43" s="114"/>
      <c r="K43" s="504"/>
      <c r="L43" s="511"/>
      <c r="M43" s="503"/>
      <c r="N43" s="120" t="s">
        <v>1013</v>
      </c>
      <c r="O43" s="122">
        <f>'R1'!J33</f>
        <v>0</v>
      </c>
      <c r="P43" s="73"/>
      <c r="Q43" s="44"/>
      <c r="R43" s="34"/>
      <c r="S43" s="82" t="s">
        <v>1010</v>
      </c>
      <c r="T43" s="84">
        <f>'R1'!D32</f>
        <v>0</v>
      </c>
      <c r="U43" s="114"/>
      <c r="W43" s="93"/>
      <c r="X43" s="117"/>
      <c r="Y43" s="25"/>
      <c r="AB43" s="363" t="str">
        <f t="shared" si="9"/>
        <v>Dotations aux amortissements et aux provisions</v>
      </c>
      <c r="AC43" s="25">
        <f t="shared" si="10"/>
        <v>1800</v>
      </c>
      <c r="AD43" s="25">
        <f t="shared" si="2"/>
        <v>1800</v>
      </c>
      <c r="AE43" s="25">
        <f t="shared" si="11"/>
        <v>2</v>
      </c>
      <c r="AF43" s="438">
        <f t="shared" si="12"/>
        <v>1800</v>
      </c>
      <c r="AH43" s="23"/>
    </row>
    <row r="44" spans="2:34" ht="12.75">
      <c r="B44" s="72" t="str">
        <f>'R1'!F34</f>
        <v>autres intérêts et produits assimilés</v>
      </c>
      <c r="C44" s="119">
        <f>'R1'!I34</f>
        <v>3620</v>
      </c>
      <c r="D44" s="73"/>
      <c r="E44" s="44"/>
      <c r="F44" s="34"/>
      <c r="G44" s="82" t="str">
        <f>'R1'!A33</f>
        <v>Intérêt et charges assimilés</v>
      </c>
      <c r="H44" s="84">
        <f>IntéretEtCharge_fin</f>
        <v>315070</v>
      </c>
      <c r="I44" s="114"/>
      <c r="K44" s="504"/>
      <c r="L44" s="511"/>
      <c r="M44" s="503"/>
      <c r="N44" s="120" t="s">
        <v>1014</v>
      </c>
      <c r="O44" s="122">
        <f>'R1'!J34</f>
        <v>0</v>
      </c>
      <c r="P44" s="73"/>
      <c r="Q44" s="44"/>
      <c r="R44" s="34"/>
      <c r="S44" s="82" t="s">
        <v>1012</v>
      </c>
      <c r="T44" s="84">
        <f>'R1'!D33</f>
        <v>0</v>
      </c>
      <c r="U44" s="114"/>
      <c r="W44" s="93"/>
      <c r="X44" s="117"/>
      <c r="Y44" s="25"/>
      <c r="AB44" s="363" t="str">
        <f t="shared" si="9"/>
        <v>Intérêt et charges assimilés</v>
      </c>
      <c r="AC44" s="25">
        <f t="shared" si="10"/>
        <v>315070</v>
      </c>
      <c r="AD44" s="25">
        <f t="shared" si="2"/>
        <v>315070</v>
      </c>
      <c r="AE44" s="25">
        <f t="shared" si="11"/>
        <v>2</v>
      </c>
      <c r="AF44" s="438">
        <f t="shared" si="12"/>
        <v>315070</v>
      </c>
      <c r="AH44" s="23"/>
    </row>
    <row r="45" spans="2:34" ht="12.75">
      <c r="B45" s="72" t="str">
        <f>'R1'!F35</f>
        <v>Reprises sur provision et transfert de charges</v>
      </c>
      <c r="C45" s="119">
        <f>RepriseSurProvision_TransfertCharges</f>
        <v>0</v>
      </c>
      <c r="D45" s="73"/>
      <c r="E45" s="44"/>
      <c r="F45" s="34"/>
      <c r="G45" s="82" t="str">
        <f>'R1'!A34</f>
        <v>Reprises aux amortissements et aux provision</v>
      </c>
      <c r="H45" s="84">
        <f>Reprise_Amm_Prov</f>
        <v>0</v>
      </c>
      <c r="I45" s="114"/>
      <c r="K45" s="504"/>
      <c r="L45" s="511"/>
      <c r="M45" s="503"/>
      <c r="N45" s="120" t="s">
        <v>1015</v>
      </c>
      <c r="O45" s="122">
        <f>'R1'!J35</f>
        <v>0</v>
      </c>
      <c r="P45" s="73"/>
      <c r="Q45" s="44"/>
      <c r="R45" s="34"/>
      <c r="S45" s="82" t="s">
        <v>748</v>
      </c>
      <c r="T45" s="84">
        <f>'R1'!D34</f>
        <v>0</v>
      </c>
      <c r="U45" s="114"/>
      <c r="W45" s="93"/>
      <c r="X45" s="117"/>
      <c r="Y45" s="25"/>
      <c r="AB45" s="363" t="str">
        <f t="shared" si="9"/>
        <v>Reprises aux amortissements et aux provision</v>
      </c>
      <c r="AC45" s="25">
        <f t="shared" si="10"/>
        <v>0</v>
      </c>
      <c r="AD45" s="25">
        <f t="shared" si="2"/>
        <v>0</v>
      </c>
      <c r="AE45" s="25">
        <f t="shared" si="11"/>
        <v>2</v>
      </c>
      <c r="AF45" s="438">
        <f t="shared" si="12"/>
        <v>0</v>
      </c>
      <c r="AH45" s="23"/>
    </row>
    <row r="46" spans="2:34" ht="12.75">
      <c r="B46" s="72" t="str">
        <f>'R1'!F36</f>
        <v>Différences positives de charge</v>
      </c>
      <c r="C46" s="119">
        <f>Dif_Charges</f>
        <v>0</v>
      </c>
      <c r="D46" s="73"/>
      <c r="E46" s="44"/>
      <c r="F46" s="34"/>
      <c r="G46" s="82" t="str">
        <f>'R1'!F36</f>
        <v>Différences positives de charge</v>
      </c>
      <c r="H46" s="84">
        <f>Dif_Charge</f>
        <v>0</v>
      </c>
      <c r="I46" s="114"/>
      <c r="K46" s="504"/>
      <c r="L46" s="511"/>
      <c r="M46" s="503"/>
      <c r="N46" s="120" t="s">
        <v>1016</v>
      </c>
      <c r="O46" s="122">
        <f>'R1'!J36</f>
        <v>0</v>
      </c>
      <c r="P46" s="73"/>
      <c r="Q46" s="44"/>
      <c r="R46" s="34"/>
      <c r="S46" s="82" t="s">
        <v>1016</v>
      </c>
      <c r="T46" s="84">
        <f>'R1'!D35</f>
        <v>0</v>
      </c>
      <c r="U46" s="114"/>
      <c r="W46" s="93"/>
      <c r="X46" s="117"/>
      <c r="Y46" s="25"/>
      <c r="AB46" s="363" t="str">
        <f t="shared" si="9"/>
        <v>Différences positives de charge</v>
      </c>
      <c r="AC46" s="25">
        <f t="shared" si="10"/>
        <v>0</v>
      </c>
      <c r="AD46" s="25">
        <f t="shared" si="2"/>
        <v>0</v>
      </c>
      <c r="AE46" s="25">
        <f t="shared" si="11"/>
        <v>2</v>
      </c>
      <c r="AF46" s="438">
        <f t="shared" si="12"/>
        <v>0</v>
      </c>
      <c r="AH46" s="23"/>
    </row>
    <row r="47" spans="2:34" ht="12.75">
      <c r="B47" s="72" t="s">
        <v>747</v>
      </c>
      <c r="C47" s="119">
        <f>ProduitNetCession_VMP</f>
        <v>4800</v>
      </c>
      <c r="D47" s="73"/>
      <c r="E47" s="44"/>
      <c r="F47" s="34"/>
      <c r="G47" s="82" t="s">
        <v>751</v>
      </c>
      <c r="H47" s="84">
        <f>ChargeNet_Cession_VMP</f>
        <v>0</v>
      </c>
      <c r="I47" s="114"/>
      <c r="K47" s="504"/>
      <c r="L47" s="511"/>
      <c r="M47" s="503"/>
      <c r="N47" s="120" t="s">
        <v>747</v>
      </c>
      <c r="O47" s="122">
        <f>'R1'!J37</f>
        <v>0</v>
      </c>
      <c r="P47" s="73"/>
      <c r="Q47" s="44"/>
      <c r="R47" s="34"/>
      <c r="S47" s="82" t="s">
        <v>751</v>
      </c>
      <c r="T47" s="84">
        <f>'R1'!D36</f>
        <v>0</v>
      </c>
      <c r="U47" s="114"/>
      <c r="W47" s="93"/>
      <c r="X47" s="117"/>
      <c r="Y47" s="25"/>
      <c r="AB47" s="363" t="str">
        <f t="shared" si="9"/>
        <v>Charges net de cession de VMP</v>
      </c>
      <c r="AC47" s="25">
        <f t="shared" si="10"/>
        <v>0</v>
      </c>
      <c r="AD47" s="25">
        <f t="shared" si="2"/>
        <v>0</v>
      </c>
      <c r="AE47" s="25">
        <f t="shared" si="11"/>
        <v>2</v>
      </c>
      <c r="AF47" s="438">
        <f t="shared" si="12"/>
        <v>0</v>
      </c>
      <c r="AH47" s="23"/>
    </row>
    <row r="48" spans="2:34" ht="12.75">
      <c r="B48" s="72" t="s">
        <v>1225</v>
      </c>
      <c r="C48" s="119">
        <f>SUM(C42:C47)</f>
        <v>15720</v>
      </c>
      <c r="D48" s="73"/>
      <c r="E48" s="47"/>
      <c r="F48" s="81"/>
      <c r="G48" s="82" t="s">
        <v>1227</v>
      </c>
      <c r="H48" s="84">
        <f>SUM(H42:H46)</f>
        <v>316870</v>
      </c>
      <c r="I48" s="115"/>
      <c r="J48" s="47"/>
      <c r="K48" s="504"/>
      <c r="L48" s="511"/>
      <c r="M48" s="503"/>
      <c r="N48" s="120" t="s">
        <v>1225</v>
      </c>
      <c r="O48" s="121">
        <f>SUM(O42:O47)</f>
        <v>0</v>
      </c>
      <c r="P48" s="73"/>
      <c r="Q48" s="47"/>
      <c r="R48" s="81"/>
      <c r="S48" s="82" t="s">
        <v>1227</v>
      </c>
      <c r="T48" s="87">
        <f>SUM(T42:T46)</f>
        <v>0</v>
      </c>
      <c r="U48" s="115"/>
      <c r="V48" s="47"/>
      <c r="W48" s="93"/>
      <c r="X48" s="117"/>
      <c r="Y48" s="25"/>
      <c r="AB48" s="363" t="str">
        <f t="shared" si="9"/>
        <v>Charges financières</v>
      </c>
      <c r="AC48" s="25">
        <f t="shared" si="10"/>
        <v>316870</v>
      </c>
      <c r="AD48" s="25">
        <f t="shared" si="2"/>
        <v>316870</v>
      </c>
      <c r="AE48" s="25">
        <f t="shared" si="11"/>
        <v>2</v>
      </c>
      <c r="AF48" s="438">
        <f t="shared" si="12"/>
        <v>316870</v>
      </c>
      <c r="AH48" s="23"/>
    </row>
    <row r="49" spans="2:34" ht="12.75">
      <c r="B49" s="72"/>
      <c r="C49" s="119"/>
      <c r="D49" s="73"/>
      <c r="E49" s="47"/>
      <c r="F49" s="81"/>
      <c r="G49" s="82"/>
      <c r="H49" s="84"/>
      <c r="I49" s="115"/>
      <c r="J49" s="47"/>
      <c r="K49" s="504"/>
      <c r="L49" s="511"/>
      <c r="M49" s="503"/>
      <c r="N49" s="120"/>
      <c r="O49" s="119"/>
      <c r="P49" s="73"/>
      <c r="Q49" s="47"/>
      <c r="R49" s="81"/>
      <c r="S49" s="82"/>
      <c r="T49" s="84"/>
      <c r="U49" s="115"/>
      <c r="V49" s="47"/>
      <c r="W49" s="93"/>
      <c r="X49" s="117"/>
      <c r="Y49" s="25"/>
      <c r="AB49" s="363">
        <f t="shared" si="9"/>
        <v>0</v>
      </c>
      <c r="AC49" s="25">
        <f t="shared" si="10"/>
        <v>0</v>
      </c>
      <c r="AD49" s="25">
        <f t="shared" si="2"/>
        <v>0</v>
      </c>
      <c r="AE49" s="25">
        <f t="shared" si="11"/>
        <v>2</v>
      </c>
      <c r="AF49" s="438">
        <f t="shared" si="12"/>
        <v>0</v>
      </c>
      <c r="AH49" s="23"/>
    </row>
    <row r="50" spans="2:34" ht="12.75">
      <c r="B50" s="72" t="s">
        <v>1209</v>
      </c>
      <c r="C50" s="119">
        <f>Résultat_Exploitation</f>
        <v>681198</v>
      </c>
      <c r="D50" s="73"/>
      <c r="E50" s="47"/>
      <c r="F50" s="81"/>
      <c r="G50" s="82"/>
      <c r="H50" s="82"/>
      <c r="I50" s="115"/>
      <c r="J50" s="47"/>
      <c r="K50" s="504"/>
      <c r="L50" s="511"/>
      <c r="M50" s="503"/>
      <c r="N50" s="120" t="s">
        <v>1209</v>
      </c>
      <c r="O50" s="119">
        <f>X37</f>
        <v>8912420</v>
      </c>
      <c r="P50" s="73"/>
      <c r="Q50" s="47"/>
      <c r="R50" s="81"/>
      <c r="S50" s="82" t="s">
        <v>1254</v>
      </c>
      <c r="T50" s="84"/>
      <c r="U50" s="115"/>
      <c r="V50" s="47"/>
      <c r="W50" s="93"/>
      <c r="X50" s="117"/>
      <c r="Y50" s="25"/>
      <c r="AB50" s="363">
        <f t="shared" si="9"/>
        <v>0</v>
      </c>
      <c r="AC50" s="25">
        <f t="shared" si="10"/>
        <v>0</v>
      </c>
      <c r="AD50" s="25">
        <f t="shared" si="2"/>
        <v>0</v>
      </c>
      <c r="AE50" s="25">
        <f t="shared" si="11"/>
        <v>2</v>
      </c>
      <c r="AF50" s="438">
        <f t="shared" si="12"/>
        <v>0</v>
      </c>
      <c r="AH50" s="23"/>
    </row>
    <row r="51" spans="2:34" ht="12.75">
      <c r="B51" s="72" t="s">
        <v>1225</v>
      </c>
      <c r="C51" s="119">
        <f>PF</f>
        <v>15720</v>
      </c>
      <c r="D51" s="73"/>
      <c r="E51" s="47"/>
      <c r="F51" s="81"/>
      <c r="G51" s="82" t="s">
        <v>1254</v>
      </c>
      <c r="H51" s="84"/>
      <c r="I51" s="115"/>
      <c r="J51" s="47"/>
      <c r="K51" s="504"/>
      <c r="L51" s="511"/>
      <c r="M51" s="503"/>
      <c r="N51" s="120" t="s">
        <v>1225</v>
      </c>
      <c r="O51" s="119">
        <f>'R1'!J38</f>
        <v>0</v>
      </c>
      <c r="P51" s="73"/>
      <c r="Q51" s="47"/>
      <c r="R51" s="81"/>
      <c r="S51" s="82" t="s">
        <v>1227</v>
      </c>
      <c r="T51" s="84">
        <f>T48</f>
        <v>0</v>
      </c>
      <c r="U51" s="115"/>
      <c r="V51" s="47"/>
      <c r="W51" s="93"/>
      <c r="X51" s="117"/>
      <c r="Y51" s="25"/>
      <c r="AB51" s="363" t="str">
        <f t="shared" si="9"/>
        <v>Charges d'exploitations</v>
      </c>
      <c r="AC51" s="25">
        <f t="shared" si="10"/>
        <v>0</v>
      </c>
      <c r="AD51" s="25">
        <f t="shared" si="2"/>
        <v>0</v>
      </c>
      <c r="AE51" s="25">
        <f t="shared" si="11"/>
        <v>2</v>
      </c>
      <c r="AF51" s="438">
        <f t="shared" si="12"/>
        <v>0</v>
      </c>
      <c r="AH51" s="23"/>
    </row>
    <row r="52" spans="2:34" ht="12.75">
      <c r="B52" s="72" t="s">
        <v>1255</v>
      </c>
      <c r="C52" s="119">
        <f>'R1'!I14</f>
        <v>47500</v>
      </c>
      <c r="D52" s="73"/>
      <c r="E52" s="47"/>
      <c r="F52" s="81"/>
      <c r="G52" s="82" t="s">
        <v>1227</v>
      </c>
      <c r="H52" s="84">
        <f>CF</f>
        <v>316870</v>
      </c>
      <c r="I52" s="115"/>
      <c r="J52" s="47"/>
      <c r="K52" s="504"/>
      <c r="L52" s="511"/>
      <c r="M52" s="503"/>
      <c r="N52" s="120" t="s">
        <v>1255</v>
      </c>
      <c r="O52" s="119">
        <f>'R1'!D34</f>
        <v>0</v>
      </c>
      <c r="P52" s="73"/>
      <c r="Q52" s="47"/>
      <c r="R52" s="81"/>
      <c r="S52" s="82"/>
      <c r="T52" s="82"/>
      <c r="U52" s="115"/>
      <c r="V52" s="47"/>
      <c r="W52" s="93"/>
      <c r="X52" s="117"/>
      <c r="Y52" s="25"/>
      <c r="AB52" s="363" t="str">
        <f t="shared" si="9"/>
        <v>Charges financières</v>
      </c>
      <c r="AC52" s="25">
        <f t="shared" si="10"/>
        <v>316870</v>
      </c>
      <c r="AD52" s="25">
        <f t="shared" si="2"/>
        <v>316870</v>
      </c>
      <c r="AE52" s="25">
        <f t="shared" si="11"/>
        <v>2</v>
      </c>
      <c r="AF52" s="438">
        <f t="shared" si="12"/>
        <v>316870</v>
      </c>
      <c r="AH52" s="23"/>
    </row>
    <row r="53" spans="2:34" ht="12.75">
      <c r="B53" s="72" t="s">
        <v>1256</v>
      </c>
      <c r="C53" s="119">
        <f>'R1'!I15</f>
        <v>32350</v>
      </c>
      <c r="D53" s="73"/>
      <c r="E53" s="47"/>
      <c r="F53" s="81"/>
      <c r="G53" s="82" t="s">
        <v>408</v>
      </c>
      <c r="H53" s="84">
        <f>AF53</f>
        <v>2000</v>
      </c>
      <c r="I53" s="115"/>
      <c r="J53" s="47"/>
      <c r="K53" s="504" t="s">
        <v>410</v>
      </c>
      <c r="L53" s="511"/>
      <c r="M53" s="503"/>
      <c r="N53" s="120" t="s">
        <v>1256</v>
      </c>
      <c r="O53" s="119">
        <f>'R1'!U15</f>
        <v>0</v>
      </c>
      <c r="P53" s="73"/>
      <c r="Q53" s="47"/>
      <c r="R53" s="81"/>
      <c r="S53" s="82"/>
      <c r="T53" s="83"/>
      <c r="U53" s="115"/>
      <c r="V53" s="47"/>
      <c r="W53" s="93"/>
      <c r="X53" s="117"/>
      <c r="Y53" s="25"/>
      <c r="AB53" s="363" t="str">
        <f t="shared" si="9"/>
        <v>Part équivalente à la charge d'intérêt</v>
      </c>
      <c r="AC53" s="25">
        <v>0</v>
      </c>
      <c r="AD53" s="158">
        <f>Imo!D73</f>
        <v>2000</v>
      </c>
      <c r="AE53" s="25">
        <f t="shared" si="11"/>
        <v>2</v>
      </c>
      <c r="AF53" s="438">
        <f t="shared" si="12"/>
        <v>2000</v>
      </c>
      <c r="AH53" s="23"/>
    </row>
    <row r="54" spans="2:34" ht="12.75">
      <c r="B54" s="72"/>
      <c r="C54" s="119">
        <f>C50+C51</f>
        <v>696918</v>
      </c>
      <c r="D54" s="74"/>
      <c r="E54" s="47"/>
      <c r="F54" s="81"/>
      <c r="G54" s="82"/>
      <c r="H54" s="84">
        <f>SUM(H51:H53)</f>
        <v>318870</v>
      </c>
      <c r="I54" s="115"/>
      <c r="J54" s="47"/>
      <c r="K54" s="504" t="s">
        <v>1230</v>
      </c>
      <c r="L54" s="511">
        <f>C54-H54</f>
        <v>378048</v>
      </c>
      <c r="M54" s="505">
        <f>X54</f>
        <v>8912420</v>
      </c>
      <c r="N54" s="120"/>
      <c r="O54" s="121">
        <f>O50+O51</f>
        <v>8912420</v>
      </c>
      <c r="P54" s="74"/>
      <c r="Q54" s="47"/>
      <c r="R54" s="81"/>
      <c r="S54" s="82"/>
      <c r="T54" s="84">
        <f>SUM(T50:T53)</f>
        <v>0</v>
      </c>
      <c r="U54" s="115"/>
      <c r="V54" s="47"/>
      <c r="W54" s="93" t="s">
        <v>1230</v>
      </c>
      <c r="X54" s="117">
        <f>O54-T54</f>
        <v>8912420</v>
      </c>
      <c r="Y54" s="25"/>
      <c r="AB54" s="363">
        <f aca="true" t="shared" si="13" ref="AB54:AC57">G54</f>
        <v>0</v>
      </c>
      <c r="AC54" s="25">
        <f t="shared" si="13"/>
        <v>318870</v>
      </c>
      <c r="AD54" s="25">
        <f t="shared" si="2"/>
        <v>318870</v>
      </c>
      <c r="AE54" s="25">
        <f t="shared" si="11"/>
        <v>2</v>
      </c>
      <c r="AF54" s="438">
        <f t="shared" si="12"/>
        <v>318870</v>
      </c>
      <c r="AH54" s="23"/>
    </row>
    <row r="55" spans="2:34" ht="12.75">
      <c r="B55" s="72"/>
      <c r="C55" s="119"/>
      <c r="D55" s="73"/>
      <c r="E55" s="47"/>
      <c r="F55" s="81"/>
      <c r="G55" s="82"/>
      <c r="H55" s="82"/>
      <c r="I55" s="115"/>
      <c r="J55" s="47"/>
      <c r="K55" s="504"/>
      <c r="L55" s="511"/>
      <c r="M55" s="503"/>
      <c r="N55" s="120"/>
      <c r="O55" s="119"/>
      <c r="P55" s="73"/>
      <c r="Q55" s="47"/>
      <c r="R55" s="81"/>
      <c r="S55" s="82"/>
      <c r="T55" s="82"/>
      <c r="U55" s="115"/>
      <c r="V55" s="47"/>
      <c r="W55" s="93"/>
      <c r="X55" s="117"/>
      <c r="Y55" s="25"/>
      <c r="AB55" s="363">
        <f t="shared" si="13"/>
        <v>0</v>
      </c>
      <c r="AC55" s="25">
        <f t="shared" si="13"/>
        <v>0</v>
      </c>
      <c r="AD55" s="25">
        <f t="shared" si="2"/>
        <v>0</v>
      </c>
      <c r="AE55" s="25">
        <f t="shared" si="11"/>
        <v>2</v>
      </c>
      <c r="AF55" s="438">
        <f t="shared" si="12"/>
        <v>0</v>
      </c>
      <c r="AH55" s="23"/>
    </row>
    <row r="56" spans="2:34" ht="12.75">
      <c r="B56" s="72"/>
      <c r="C56" s="119"/>
      <c r="D56" s="73"/>
      <c r="E56" s="47"/>
      <c r="F56" s="81"/>
      <c r="G56" s="82"/>
      <c r="H56" s="84"/>
      <c r="I56" s="115"/>
      <c r="J56" s="47"/>
      <c r="K56" s="504"/>
      <c r="L56" s="511"/>
      <c r="M56" s="503"/>
      <c r="N56" s="120" t="s">
        <v>1020</v>
      </c>
      <c r="O56" s="119"/>
      <c r="P56" s="73"/>
      <c r="Q56" s="47"/>
      <c r="R56" s="81"/>
      <c r="S56" s="82"/>
      <c r="T56" s="86">
        <f>'R1'!U32</f>
        <v>0</v>
      </c>
      <c r="U56" s="115"/>
      <c r="V56" s="47"/>
      <c r="W56" s="93"/>
      <c r="X56" s="117"/>
      <c r="Y56" s="25"/>
      <c r="AB56" s="363">
        <f t="shared" si="13"/>
        <v>0</v>
      </c>
      <c r="AC56" s="25">
        <f t="shared" si="13"/>
        <v>0</v>
      </c>
      <c r="AD56" s="25">
        <f t="shared" si="2"/>
        <v>0</v>
      </c>
      <c r="AE56" s="25">
        <f t="shared" si="11"/>
        <v>2</v>
      </c>
      <c r="AF56" s="438">
        <f t="shared" si="12"/>
        <v>0</v>
      </c>
      <c r="AH56" s="23"/>
    </row>
    <row r="57" spans="2:34" ht="12.75">
      <c r="B57" s="72" t="str">
        <f>'R1'!A44</f>
        <v>Sur opération de gestion</v>
      </c>
      <c r="C57" s="119">
        <f>'R1'!I44</f>
        <v>657</v>
      </c>
      <c r="D57" s="73"/>
      <c r="E57" s="47"/>
      <c r="F57" s="81"/>
      <c r="G57" s="82" t="str">
        <f>'R1'!A44</f>
        <v>Sur opération de gestion</v>
      </c>
      <c r="H57" s="84">
        <f>ChgeExep_Kpital</f>
        <v>1032</v>
      </c>
      <c r="I57" s="115"/>
      <c r="J57" s="47"/>
      <c r="K57" s="504"/>
      <c r="L57" s="511"/>
      <c r="M57" s="503"/>
      <c r="N57" s="120" t="s">
        <v>1022</v>
      </c>
      <c r="O57" s="122">
        <f>'R1'!U43</f>
        <v>0</v>
      </c>
      <c r="P57" s="73"/>
      <c r="Q57" s="47"/>
      <c r="R57" s="81"/>
      <c r="S57" s="82" t="s">
        <v>1020</v>
      </c>
      <c r="T57" s="86">
        <f>'R1'!O43</f>
        <v>0</v>
      </c>
      <c r="U57" s="115"/>
      <c r="V57" s="47"/>
      <c r="W57" s="93"/>
      <c r="X57" s="117"/>
      <c r="Y57" s="25"/>
      <c r="AB57" s="363" t="str">
        <f t="shared" si="13"/>
        <v>Sur opération de gestion</v>
      </c>
      <c r="AC57" s="25">
        <f t="shared" si="13"/>
        <v>1032</v>
      </c>
      <c r="AD57" s="25">
        <f t="shared" si="2"/>
        <v>1032</v>
      </c>
      <c r="AE57" s="25">
        <f t="shared" si="11"/>
        <v>2</v>
      </c>
      <c r="AF57" s="438">
        <f t="shared" si="12"/>
        <v>1032</v>
      </c>
      <c r="AH57" s="23"/>
    </row>
    <row r="58" spans="2:34" ht="12.75">
      <c r="B58" s="72" t="str">
        <f>'R1'!A45</f>
        <v>Sur opération en capital</v>
      </c>
      <c r="C58" s="119">
        <f>'R1'!I45</f>
        <v>203805</v>
      </c>
      <c r="D58" s="73"/>
      <c r="E58" s="47"/>
      <c r="F58" s="81"/>
      <c r="G58" s="82" t="str">
        <f>'R1'!A45</f>
        <v>Sur opération en capital</v>
      </c>
      <c r="H58" s="84">
        <f>Dot_amm_Prov_Exep</f>
        <v>127130</v>
      </c>
      <c r="I58" s="115"/>
      <c r="J58" s="47"/>
      <c r="K58" s="504"/>
      <c r="L58" s="511"/>
      <c r="M58" s="503"/>
      <c r="N58" s="120" t="s">
        <v>1024</v>
      </c>
      <c r="O58" s="122">
        <f>'R1'!U44</f>
        <v>0</v>
      </c>
      <c r="P58" s="73"/>
      <c r="Q58" s="47"/>
      <c r="R58" s="81"/>
      <c r="S58" s="82" t="s">
        <v>1022</v>
      </c>
      <c r="T58" s="86">
        <f>'R1'!O44</f>
        <v>0</v>
      </c>
      <c r="U58" s="115"/>
      <c r="V58" s="47"/>
      <c r="W58" s="93"/>
      <c r="X58" s="117"/>
      <c r="Y58" s="25"/>
      <c r="AB58" s="363"/>
      <c r="AF58" s="438"/>
      <c r="AH58" s="23"/>
    </row>
    <row r="59" spans="2:34" ht="12.75">
      <c r="B59" s="72" t="str">
        <f>'R1'!A46</f>
        <v>Dotation aux ammortissement et aux provisions</v>
      </c>
      <c r="C59" s="119">
        <f>'R1'!I46</f>
        <v>10760</v>
      </c>
      <c r="D59" s="73"/>
      <c r="E59" s="47"/>
      <c r="F59" s="81"/>
      <c r="G59" s="82" t="str">
        <f>'R1'!A46</f>
        <v>Dotation aux ammortissement et aux provisions</v>
      </c>
      <c r="H59" s="84">
        <f>'R1'!C46</f>
        <v>8080</v>
      </c>
      <c r="I59" s="115"/>
      <c r="J59" s="47"/>
      <c r="K59" s="504"/>
      <c r="L59" s="511"/>
      <c r="M59" s="503"/>
      <c r="N59" s="120" t="s">
        <v>1229</v>
      </c>
      <c r="O59" s="122">
        <f>'R1'!U45</f>
        <v>0</v>
      </c>
      <c r="P59" s="73"/>
      <c r="Q59" s="47"/>
      <c r="R59" s="81"/>
      <c r="S59" s="82" t="s">
        <v>1024</v>
      </c>
      <c r="T59" s="86">
        <f>'R1'!O45</f>
        <v>0</v>
      </c>
      <c r="U59" s="115"/>
      <c r="V59" s="47"/>
      <c r="W59" s="93"/>
      <c r="X59" s="117"/>
      <c r="Y59" s="25"/>
      <c r="AB59" s="439"/>
      <c r="AC59" s="440"/>
      <c r="AD59" s="440"/>
      <c r="AE59" s="440"/>
      <c r="AF59" s="820"/>
      <c r="AG59" s="440"/>
      <c r="AH59" s="31"/>
    </row>
    <row r="60" spans="2:25" ht="12.75">
      <c r="B60" s="72" t="s">
        <v>1229</v>
      </c>
      <c r="C60" s="119">
        <f>SUM(C57:C59)</f>
        <v>215222</v>
      </c>
      <c r="D60" s="73"/>
      <c r="F60" s="85"/>
      <c r="G60" s="82" t="s">
        <v>1228</v>
      </c>
      <c r="H60" s="84">
        <f>SUM(H57:H59)</f>
        <v>136242</v>
      </c>
      <c r="I60" s="115"/>
      <c r="J60" s="47"/>
      <c r="K60" s="504" t="s">
        <v>1231</v>
      </c>
      <c r="L60" s="511">
        <f>C60-H60</f>
        <v>78980</v>
      </c>
      <c r="M60" s="505">
        <f>X60</f>
        <v>0</v>
      </c>
      <c r="N60" s="120" t="s">
        <v>1229</v>
      </c>
      <c r="O60" s="119">
        <f>SUM(O57:O59)</f>
        <v>0</v>
      </c>
      <c r="P60" s="73"/>
      <c r="R60" s="85"/>
      <c r="S60" s="82" t="s">
        <v>1228</v>
      </c>
      <c r="T60" s="84">
        <f>SUM(T56:T59)</f>
        <v>0</v>
      </c>
      <c r="U60" s="115"/>
      <c r="V60" s="47"/>
      <c r="W60" s="93" t="s">
        <v>1231</v>
      </c>
      <c r="X60" s="117">
        <f>O60-T60</f>
        <v>0</v>
      </c>
      <c r="Y60" s="25"/>
    </row>
    <row r="61" spans="2:25" ht="12.75">
      <c r="B61" s="72"/>
      <c r="C61" s="119"/>
      <c r="D61" s="73"/>
      <c r="E61" s="47"/>
      <c r="F61" s="81"/>
      <c r="G61" s="82"/>
      <c r="H61" s="84"/>
      <c r="I61" s="115"/>
      <c r="J61" s="47"/>
      <c r="K61" s="504"/>
      <c r="L61" s="511"/>
      <c r="M61" s="503"/>
      <c r="N61" s="120"/>
      <c r="O61" s="119"/>
      <c r="P61" s="73"/>
      <c r="Q61" s="47"/>
      <c r="R61" s="81"/>
      <c r="S61" s="82"/>
      <c r="T61" s="84"/>
      <c r="U61" s="115"/>
      <c r="V61" s="47"/>
      <c r="W61" s="93"/>
      <c r="X61" s="117"/>
      <c r="Y61" s="25"/>
    </row>
    <row r="62" spans="2:25" ht="12.75">
      <c r="B62" s="72"/>
      <c r="C62" s="119"/>
      <c r="D62" s="74"/>
      <c r="E62" s="47"/>
      <c r="F62" s="81"/>
      <c r="G62" s="82"/>
      <c r="H62" s="82"/>
      <c r="I62" s="114"/>
      <c r="K62" s="504"/>
      <c r="L62" s="511"/>
      <c r="M62" s="503"/>
      <c r="N62" s="120" t="s">
        <v>1232</v>
      </c>
      <c r="O62" s="122">
        <f>X54</f>
        <v>8912420</v>
      </c>
      <c r="P62" s="74"/>
      <c r="Q62" s="47"/>
      <c r="R62" s="81"/>
      <c r="S62" s="82" t="s">
        <v>1233</v>
      </c>
      <c r="T62" s="86">
        <f>'R1'!O49</f>
        <v>0</v>
      </c>
      <c r="U62" s="114"/>
      <c r="W62" s="93"/>
      <c r="X62" s="117"/>
      <c r="Y62" s="25"/>
    </row>
    <row r="63" spans="2:25" ht="12.75">
      <c r="B63" s="72" t="s">
        <v>1232</v>
      </c>
      <c r="C63" s="119">
        <f>L54</f>
        <v>378048</v>
      </c>
      <c r="D63" s="73"/>
      <c r="E63" s="47"/>
      <c r="F63" s="81"/>
      <c r="G63" s="82" t="s">
        <v>1233</v>
      </c>
      <c r="H63" s="84">
        <f>'R1'!C49</f>
        <v>62899</v>
      </c>
      <c r="I63" s="115"/>
      <c r="J63" s="47"/>
      <c r="K63" s="504"/>
      <c r="L63" s="511"/>
      <c r="M63" s="503"/>
      <c r="N63" s="120" t="s">
        <v>1231</v>
      </c>
      <c r="O63" s="125">
        <f>X60</f>
        <v>0</v>
      </c>
      <c r="P63" s="73"/>
      <c r="Q63" s="47"/>
      <c r="R63" s="81"/>
      <c r="S63" s="82" t="s">
        <v>1234</v>
      </c>
      <c r="T63" s="126">
        <f>'R1'!O51</f>
        <v>0</v>
      </c>
      <c r="U63" s="115"/>
      <c r="V63" s="47"/>
      <c r="W63" s="93"/>
      <c r="X63" s="117"/>
      <c r="Y63" s="25"/>
    </row>
    <row r="64" spans="2:25" ht="12.75">
      <c r="B64" s="72" t="s">
        <v>1231</v>
      </c>
      <c r="C64" s="119">
        <f>L60</f>
        <v>78980</v>
      </c>
      <c r="D64" s="73"/>
      <c r="F64" s="85"/>
      <c r="G64" s="82" t="s">
        <v>1234</v>
      </c>
      <c r="H64" s="84">
        <f>'R1'!C51</f>
        <v>148473</v>
      </c>
      <c r="I64" s="114"/>
      <c r="K64" s="504"/>
      <c r="L64" s="511"/>
      <c r="M64" s="503"/>
      <c r="N64" s="120"/>
      <c r="O64" s="119">
        <f>SUM(O62:O63)</f>
        <v>8912420</v>
      </c>
      <c r="P64" s="73"/>
      <c r="R64" s="85"/>
      <c r="S64" s="82"/>
      <c r="T64" s="84">
        <f>T63+T62</f>
        <v>0</v>
      </c>
      <c r="U64" s="114"/>
      <c r="W64" s="93" t="s">
        <v>6</v>
      </c>
      <c r="X64" s="117">
        <f>O64-T64</f>
        <v>8912420</v>
      </c>
      <c r="Y64" s="25"/>
    </row>
    <row r="65" spans="2:25" ht="12.75">
      <c r="B65" s="72"/>
      <c r="C65" s="119">
        <f>SUM(C63:C64)</f>
        <v>457028</v>
      </c>
      <c r="D65" s="73"/>
      <c r="E65" s="47"/>
      <c r="F65" s="81"/>
      <c r="G65" s="82"/>
      <c r="H65" s="82">
        <f>SUM(H62:H64)</f>
        <v>211372</v>
      </c>
      <c r="I65" s="114"/>
      <c r="K65" s="504" t="s">
        <v>6</v>
      </c>
      <c r="L65" s="511">
        <f>C65-H65</f>
        <v>245656</v>
      </c>
      <c r="M65" s="505">
        <f>X64</f>
        <v>8912420</v>
      </c>
      <c r="N65" s="120"/>
      <c r="O65" s="119"/>
      <c r="P65" s="73"/>
      <c r="Q65" s="47"/>
      <c r="R65" s="81"/>
      <c r="S65" s="82"/>
      <c r="T65" s="82"/>
      <c r="U65" s="114"/>
      <c r="W65" s="93"/>
      <c r="X65" s="117"/>
      <c r="Y65" s="25"/>
    </row>
    <row r="66" spans="2:25" ht="12.75">
      <c r="B66" s="72"/>
      <c r="C66" s="119"/>
      <c r="D66" s="73"/>
      <c r="E66" s="47"/>
      <c r="F66" s="81"/>
      <c r="G66" s="82"/>
      <c r="H66" s="82"/>
      <c r="I66" s="114"/>
      <c r="K66" s="504"/>
      <c r="L66" s="511"/>
      <c r="M66" s="503"/>
      <c r="N66" s="120"/>
      <c r="O66" s="119"/>
      <c r="P66" s="73"/>
      <c r="Q66" s="47"/>
      <c r="R66" s="81"/>
      <c r="S66" s="82"/>
      <c r="T66" s="82"/>
      <c r="U66" s="114"/>
      <c r="W66" s="93"/>
      <c r="X66" s="117"/>
      <c r="Y66" s="25"/>
    </row>
    <row r="67" spans="2:25" ht="12.75">
      <c r="B67" s="72" t="s">
        <v>70</v>
      </c>
      <c r="C67" s="119"/>
      <c r="D67" s="73"/>
      <c r="E67" s="47"/>
      <c r="F67" s="81"/>
      <c r="G67" s="82" t="s">
        <v>71</v>
      </c>
      <c r="H67" s="82"/>
      <c r="I67" s="114"/>
      <c r="K67" s="504"/>
      <c r="L67" s="511"/>
      <c r="M67" s="503"/>
      <c r="N67" s="120"/>
      <c r="O67" s="119"/>
      <c r="P67" s="73"/>
      <c r="Q67" s="47"/>
      <c r="R67" s="81"/>
      <c r="S67" s="82"/>
      <c r="T67" s="82"/>
      <c r="U67" s="114"/>
      <c r="W67" s="93"/>
      <c r="X67" s="117"/>
      <c r="Y67" s="25"/>
    </row>
    <row r="68" spans="2:25" ht="12.75">
      <c r="B68" s="72" t="s">
        <v>995</v>
      </c>
      <c r="C68" s="119">
        <f>C5</f>
        <v>0</v>
      </c>
      <c r="D68" s="73"/>
      <c r="E68" s="47"/>
      <c r="F68" s="81"/>
      <c r="G68" s="82" t="s">
        <v>68</v>
      </c>
      <c r="H68" s="84">
        <f>H5</f>
        <v>0</v>
      </c>
      <c r="I68" s="114"/>
      <c r="K68" s="504"/>
      <c r="L68" s="511"/>
      <c r="M68" s="503"/>
      <c r="N68" s="120"/>
      <c r="O68" s="119"/>
      <c r="P68" s="73"/>
      <c r="Q68" s="47"/>
      <c r="R68" s="81"/>
      <c r="S68" s="82"/>
      <c r="T68" s="82"/>
      <c r="U68" s="114"/>
      <c r="W68" s="93"/>
      <c r="X68" s="117"/>
      <c r="Y68" s="25"/>
    </row>
    <row r="69" spans="2:25" ht="12.75">
      <c r="B69" s="72" t="s">
        <v>1181</v>
      </c>
      <c r="C69" s="119">
        <f>C17</f>
        <v>9375265</v>
      </c>
      <c r="D69" s="73"/>
      <c r="E69" s="47"/>
      <c r="F69" s="81"/>
      <c r="G69" s="82" t="s">
        <v>69</v>
      </c>
      <c r="H69" s="84">
        <f>H15+H16</f>
        <v>3797640</v>
      </c>
      <c r="I69" s="114"/>
      <c r="K69" s="504"/>
      <c r="L69" s="511"/>
      <c r="M69" s="503"/>
      <c r="N69" s="120"/>
      <c r="O69" s="119"/>
      <c r="P69" s="73"/>
      <c r="Q69" s="47"/>
      <c r="R69" s="81"/>
      <c r="S69" s="82"/>
      <c r="T69" s="82"/>
      <c r="U69" s="114"/>
      <c r="W69" s="93"/>
      <c r="X69" s="117"/>
      <c r="Y69" s="25"/>
    </row>
    <row r="70" spans="2:25" ht="12.75">
      <c r="B70" s="72"/>
      <c r="C70" s="119">
        <f>SUM(C68:C69)</f>
        <v>9375265</v>
      </c>
      <c r="D70" s="73"/>
      <c r="E70" s="47"/>
      <c r="F70" s="81"/>
      <c r="G70" s="82"/>
      <c r="H70" s="84">
        <f>SUM(H68:H69)</f>
        <v>3797640</v>
      </c>
      <c r="I70" s="114"/>
      <c r="K70" s="504"/>
      <c r="L70" s="511"/>
      <c r="M70" s="503"/>
      <c r="N70" s="120"/>
      <c r="O70" s="119"/>
      <c r="P70" s="73"/>
      <c r="Q70" s="47"/>
      <c r="R70" s="81"/>
      <c r="S70" s="82"/>
      <c r="T70" s="82"/>
      <c r="U70" s="114"/>
      <c r="W70" s="93"/>
      <c r="X70" s="117"/>
      <c r="Y70" s="25"/>
    </row>
    <row r="71" spans="2:25" ht="12.75">
      <c r="B71" s="72"/>
      <c r="C71" s="119"/>
      <c r="D71" s="74"/>
      <c r="F71" s="85"/>
      <c r="G71" s="82"/>
      <c r="H71" s="82"/>
      <c r="I71" s="114"/>
      <c r="K71" s="504"/>
      <c r="L71" s="511"/>
      <c r="M71" s="503"/>
      <c r="N71" s="120"/>
      <c r="O71" s="119"/>
      <c r="P71" s="73"/>
      <c r="Q71" s="47"/>
      <c r="R71" s="81"/>
      <c r="S71" s="82"/>
      <c r="T71" s="82"/>
      <c r="U71" s="114"/>
      <c r="W71" s="93"/>
      <c r="X71" s="117"/>
      <c r="Y71" s="25"/>
    </row>
    <row r="72" spans="2:25" ht="12.75">
      <c r="B72" s="72" t="s">
        <v>455</v>
      </c>
      <c r="C72" s="119">
        <f>C70*19.6%</f>
        <v>1837551.9400000002</v>
      </c>
      <c r="D72" s="73"/>
      <c r="E72" s="47"/>
      <c r="F72" s="81"/>
      <c r="G72" s="82" t="s">
        <v>72</v>
      </c>
      <c r="H72" s="84">
        <f>H70*19.6%</f>
        <v>744337.4400000001</v>
      </c>
      <c r="I72" s="114"/>
      <c r="K72" s="504" t="s">
        <v>73</v>
      </c>
      <c r="L72" s="511">
        <f>C72-H72</f>
        <v>1093214.5</v>
      </c>
      <c r="M72" s="503"/>
      <c r="N72" s="120"/>
      <c r="O72" s="119"/>
      <c r="P72" s="73"/>
      <c r="Q72" s="47"/>
      <c r="R72" s="81"/>
      <c r="S72" s="82"/>
      <c r="T72" s="82"/>
      <c r="U72" s="114"/>
      <c r="W72" s="93"/>
      <c r="X72" s="117"/>
      <c r="Y72" s="25"/>
    </row>
    <row r="73" spans="2:25" ht="12.75">
      <c r="B73" s="72"/>
      <c r="C73" s="119"/>
      <c r="D73" s="73"/>
      <c r="E73" s="47"/>
      <c r="F73" s="81"/>
      <c r="G73" s="82"/>
      <c r="H73" s="82"/>
      <c r="I73" s="114"/>
      <c r="K73" s="504"/>
      <c r="L73" s="511"/>
      <c r="M73" s="503"/>
      <c r="N73" s="120"/>
      <c r="O73" s="119"/>
      <c r="P73" s="73"/>
      <c r="Q73" s="47"/>
      <c r="R73" s="81"/>
      <c r="S73" s="82"/>
      <c r="T73" s="82"/>
      <c r="U73" s="114"/>
      <c r="W73" s="93"/>
      <c r="X73" s="117"/>
      <c r="Y73" s="25"/>
    </row>
    <row r="74" spans="2:25" ht="12.75">
      <c r="B74" s="72" t="s">
        <v>77</v>
      </c>
      <c r="C74" s="119">
        <f>'R1'!I55</f>
        <v>381898</v>
      </c>
      <c r="D74" s="73"/>
      <c r="E74" s="47"/>
      <c r="F74" s="81"/>
      <c r="G74" s="82" t="s">
        <v>78</v>
      </c>
      <c r="H74" s="84">
        <f>'R1'!C55</f>
        <v>0</v>
      </c>
      <c r="I74" s="114"/>
      <c r="K74" s="506"/>
      <c r="L74" s="512">
        <f>IF(C74=0,-H74,C74)</f>
        <v>381898</v>
      </c>
      <c r="M74" s="507"/>
      <c r="N74" s="120"/>
      <c r="O74" s="119"/>
      <c r="P74" s="73"/>
      <c r="Q74" s="47"/>
      <c r="R74" s="81"/>
      <c r="S74" s="82"/>
      <c r="T74" s="82"/>
      <c r="U74" s="114"/>
      <c r="W74" s="93"/>
      <c r="X74" s="117"/>
      <c r="Y74" s="25"/>
    </row>
    <row r="75" spans="2:25" ht="12.75">
      <c r="B75" s="72"/>
      <c r="C75" s="119"/>
      <c r="D75" s="73"/>
      <c r="E75" s="47"/>
      <c r="F75" s="136"/>
      <c r="G75" s="91"/>
      <c r="H75" s="83"/>
      <c r="I75" s="116"/>
      <c r="K75" s="709"/>
      <c r="L75" s="1170"/>
      <c r="M75" s="503"/>
      <c r="N75" s="120"/>
      <c r="O75" s="119"/>
      <c r="P75" s="119"/>
      <c r="Q75" s="47"/>
      <c r="R75" s="84"/>
      <c r="S75" s="82"/>
      <c r="T75" s="82"/>
      <c r="U75" s="82"/>
      <c r="W75" s="220"/>
      <c r="X75" s="117"/>
      <c r="Y75" s="25"/>
    </row>
    <row r="76" spans="2:25" ht="12.75">
      <c r="B76" s="77"/>
      <c r="C76" s="123"/>
      <c r="D76" s="75"/>
      <c r="E76" s="47"/>
      <c r="F76" s="83"/>
      <c r="G76" s="91"/>
      <c r="H76" s="83"/>
      <c r="I76" s="91"/>
      <c r="K76" s="709"/>
      <c r="L76" s="1170"/>
      <c r="M76" s="503"/>
      <c r="N76" s="120"/>
      <c r="O76" s="119"/>
      <c r="P76" s="119"/>
      <c r="Q76" s="47"/>
      <c r="R76" s="84"/>
      <c r="S76" s="82"/>
      <c r="T76" s="82"/>
      <c r="U76" s="82"/>
      <c r="W76" s="220"/>
      <c r="X76" s="117"/>
      <c r="Y76" s="25"/>
    </row>
    <row r="77" spans="2:25" ht="12" customHeight="1">
      <c r="B77" s="1930" t="s">
        <v>1215</v>
      </c>
      <c r="C77" s="1931"/>
      <c r="D77" s="1931"/>
      <c r="E77" s="1932"/>
      <c r="F77" s="1932"/>
      <c r="G77" s="1932"/>
      <c r="H77" s="1932"/>
      <c r="I77" s="1932"/>
      <c r="J77" s="1932"/>
      <c r="K77" s="1932"/>
      <c r="L77" s="1932"/>
      <c r="M77" s="226"/>
      <c r="N77" s="1932" t="s">
        <v>31</v>
      </c>
      <c r="O77" s="1932"/>
      <c r="P77" s="1932"/>
      <c r="Q77" s="1932"/>
      <c r="R77" s="1932"/>
      <c r="S77" s="1932"/>
      <c r="T77" s="1932"/>
      <c r="U77" s="1932"/>
      <c r="V77" s="1932"/>
      <c r="W77" s="1932"/>
      <c r="X77" s="1932"/>
      <c r="Y77" s="25"/>
    </row>
    <row r="78" spans="2:25" ht="12" customHeight="1">
      <c r="B78" s="1940" t="s">
        <v>1235</v>
      </c>
      <c r="C78" s="1941"/>
      <c r="D78" s="1941"/>
      <c r="E78" s="1941"/>
      <c r="F78" s="1941"/>
      <c r="G78" s="1941"/>
      <c r="H78" s="1941"/>
      <c r="I78" s="1941"/>
      <c r="J78" s="1941"/>
      <c r="K78" s="1941"/>
      <c r="L78" s="1941"/>
      <c r="M78" s="221"/>
      <c r="N78" s="1941" t="s">
        <v>1235</v>
      </c>
      <c r="O78" s="1941"/>
      <c r="P78" s="1941"/>
      <c r="Q78" s="1941"/>
      <c r="R78" s="1941"/>
      <c r="S78" s="1941"/>
      <c r="T78" s="1941"/>
      <c r="U78" s="1941"/>
      <c r="V78" s="1941"/>
      <c r="W78" s="1941"/>
      <c r="X78" s="1941"/>
      <c r="Y78" s="25"/>
    </row>
    <row r="79" spans="2:25" ht="12.75">
      <c r="B79" s="1942" t="s">
        <v>1262</v>
      </c>
      <c r="C79" s="1943"/>
      <c r="D79" s="1944"/>
      <c r="E79" s="52"/>
      <c r="F79" s="1945" t="s">
        <v>1263</v>
      </c>
      <c r="G79" s="1946"/>
      <c r="H79" s="1946"/>
      <c r="I79" s="1947"/>
      <c r="J79" s="52"/>
      <c r="K79" s="1948" t="s">
        <v>1264</v>
      </c>
      <c r="L79" s="1949"/>
      <c r="M79" s="222"/>
      <c r="N79" s="1943" t="s">
        <v>1262</v>
      </c>
      <c r="O79" s="1943"/>
      <c r="P79" s="1944"/>
      <c r="Q79" s="47"/>
      <c r="R79" s="1945" t="s">
        <v>1263</v>
      </c>
      <c r="S79" s="1946"/>
      <c r="T79" s="1946"/>
      <c r="U79" s="1947"/>
      <c r="V79" s="47"/>
      <c r="W79" s="1948" t="s">
        <v>1264</v>
      </c>
      <c r="X79" s="1963"/>
      <c r="Y79" s="25"/>
    </row>
    <row r="80" spans="2:25" ht="12.75">
      <c r="B80" s="72"/>
      <c r="C80" s="119"/>
      <c r="D80" s="73"/>
      <c r="E80" s="47"/>
      <c r="F80" s="81"/>
      <c r="G80" s="82"/>
      <c r="H80" s="82"/>
      <c r="I80" s="114"/>
      <c r="K80" s="93"/>
      <c r="L80" s="234" t="s">
        <v>29</v>
      </c>
      <c r="M80" s="222" t="s">
        <v>30</v>
      </c>
      <c r="N80" s="120"/>
      <c r="O80" s="119"/>
      <c r="P80" s="73"/>
      <c r="Q80" s="47"/>
      <c r="R80" s="81"/>
      <c r="S80" s="82"/>
      <c r="T80" s="82"/>
      <c r="U80" s="114"/>
      <c r="W80" s="93"/>
      <c r="X80" s="117"/>
      <c r="Y80" s="25"/>
    </row>
    <row r="81" spans="2:25" ht="12.75" customHeight="1">
      <c r="B81" s="72" t="s">
        <v>1236</v>
      </c>
      <c r="C81" s="119" t="e">
        <f>'R1'!#REF!</f>
        <v>#REF!</v>
      </c>
      <c r="D81" s="73"/>
      <c r="E81" s="47"/>
      <c r="F81" s="81"/>
      <c r="G81" s="82" t="s">
        <v>1237</v>
      </c>
      <c r="H81" s="84">
        <f>'R1'!G68</f>
        <v>0</v>
      </c>
      <c r="I81" s="114"/>
      <c r="K81" s="133" t="s">
        <v>1250</v>
      </c>
      <c r="L81" s="224" t="e">
        <f>C81-H81</f>
        <v>#REF!</v>
      </c>
      <c r="M81" s="222"/>
      <c r="N81" s="120" t="s">
        <v>1236</v>
      </c>
      <c r="O81" s="119">
        <f>'R1'!O68</f>
        <v>0</v>
      </c>
      <c r="P81" s="73"/>
      <c r="Q81" s="47"/>
      <c r="R81" s="81"/>
      <c r="S81" s="82" t="s">
        <v>1237</v>
      </c>
      <c r="T81" s="84">
        <f>'R1'!S68</f>
        <v>0</v>
      </c>
      <c r="U81" s="114"/>
      <c r="W81" s="133" t="s">
        <v>1250</v>
      </c>
      <c r="X81" s="117">
        <f>O81-T81</f>
        <v>0</v>
      </c>
      <c r="Y81" s="25"/>
    </row>
    <row r="82" spans="2:25" ht="12.75">
      <c r="B82" s="1933"/>
      <c r="C82" s="1934"/>
      <c r="D82" s="71"/>
      <c r="E82" s="44"/>
      <c r="F82" s="1935"/>
      <c r="G82" s="1936"/>
      <c r="H82" s="1936"/>
      <c r="I82" s="1937"/>
      <c r="J82" s="44"/>
      <c r="K82" s="1938"/>
      <c r="L82" s="1939"/>
      <c r="M82" s="222"/>
      <c r="N82" s="1934"/>
      <c r="O82" s="1934"/>
      <c r="P82" s="71"/>
      <c r="Q82" s="44"/>
      <c r="R82" s="1935"/>
      <c r="S82" s="1936"/>
      <c r="T82" s="1936"/>
      <c r="U82" s="1937"/>
      <c r="V82" s="44"/>
      <c r="W82" s="1938"/>
      <c r="X82" s="1962"/>
      <c r="Y82" s="25"/>
    </row>
    <row r="83" spans="2:25" ht="12.75">
      <c r="B83" s="113"/>
      <c r="C83" s="119"/>
      <c r="D83" s="73"/>
      <c r="E83" s="44"/>
      <c r="F83" s="34"/>
      <c r="G83" s="82"/>
      <c r="H83" s="84"/>
      <c r="I83" s="114"/>
      <c r="K83" s="93"/>
      <c r="L83" s="224"/>
      <c r="M83" s="222"/>
      <c r="N83" s="230"/>
      <c r="O83" s="119"/>
      <c r="P83" s="73"/>
      <c r="Q83" s="44"/>
      <c r="R83" s="34"/>
      <c r="S83" s="82"/>
      <c r="T83" s="84"/>
      <c r="U83" s="114"/>
      <c r="W83" s="93"/>
      <c r="X83" s="117"/>
      <c r="Y83" s="25"/>
    </row>
    <row r="84" spans="2:25" ht="12.75">
      <c r="B84" s="1919" t="s">
        <v>743</v>
      </c>
      <c r="C84" s="1920"/>
      <c r="D84" s="1920"/>
      <c r="E84" s="1920"/>
      <c r="F84" s="1920"/>
      <c r="G84" s="1920"/>
      <c r="H84" s="1920"/>
      <c r="I84" s="1920"/>
      <c r="J84" s="1920"/>
      <c r="K84" s="1920"/>
      <c r="L84" s="1921"/>
      <c r="M84" s="222"/>
      <c r="N84" s="1920" t="s">
        <v>743</v>
      </c>
      <c r="O84" s="1920"/>
      <c r="P84" s="1920"/>
      <c r="Q84" s="1920"/>
      <c r="R84" s="1920"/>
      <c r="S84" s="1920"/>
      <c r="T84" s="1920"/>
      <c r="U84" s="1920"/>
      <c r="V84" s="1920"/>
      <c r="W84" s="1920"/>
      <c r="X84" s="1920"/>
      <c r="Y84" s="25"/>
    </row>
    <row r="85" spans="2:25" ht="12.75">
      <c r="B85" s="70"/>
      <c r="C85" s="121"/>
      <c r="D85" s="141"/>
      <c r="E85" s="47"/>
      <c r="F85" s="81"/>
      <c r="G85" s="82"/>
      <c r="H85" s="84"/>
      <c r="I85" s="115"/>
      <c r="J85" s="47"/>
      <c r="K85" s="93"/>
      <c r="L85" s="224"/>
      <c r="M85" s="222"/>
      <c r="N85" s="70"/>
      <c r="O85" s="121"/>
      <c r="P85" s="141"/>
      <c r="Q85" s="47"/>
      <c r="R85" s="81"/>
      <c r="S85" s="82"/>
      <c r="T85" s="84"/>
      <c r="U85" s="115"/>
      <c r="V85" s="47"/>
      <c r="W85" s="93"/>
      <c r="X85" s="117"/>
      <c r="Y85" s="25"/>
    </row>
    <row r="86" spans="2:25" ht="12.75">
      <c r="B86" s="72" t="s">
        <v>1210</v>
      </c>
      <c r="C86" s="140">
        <f>Résultat_net</f>
        <v>245656</v>
      </c>
      <c r="D86" s="73"/>
      <c r="E86" s="47"/>
      <c r="F86" s="81"/>
      <c r="G86" s="82"/>
      <c r="H86" s="82"/>
      <c r="I86" s="115"/>
      <c r="J86" s="47"/>
      <c r="K86" s="93"/>
      <c r="L86" s="224">
        <f>C86</f>
        <v>245656</v>
      </c>
      <c r="M86" s="222"/>
      <c r="N86" s="72" t="s">
        <v>1210</v>
      </c>
      <c r="O86" s="140">
        <f>X60</f>
        <v>0</v>
      </c>
      <c r="P86" s="73"/>
      <c r="Q86" s="47"/>
      <c r="R86" s="81"/>
      <c r="S86" s="82"/>
      <c r="T86" s="82"/>
      <c r="U86" s="115"/>
      <c r="V86" s="47"/>
      <c r="W86" s="93"/>
      <c r="X86" s="117">
        <f>O86</f>
        <v>0</v>
      </c>
      <c r="Y86" s="25"/>
    </row>
    <row r="87" spans="2:25" ht="12.75">
      <c r="B87" s="72" t="s">
        <v>746</v>
      </c>
      <c r="C87" s="140">
        <f>Reprise_Prov_TransfertCharge_Exceptionnel</f>
        <v>10760</v>
      </c>
      <c r="D87" s="73"/>
      <c r="F87" s="85"/>
      <c r="G87" s="82" t="s">
        <v>1251</v>
      </c>
      <c r="H87" s="231">
        <f>Dot_amm_Prov_Exep</f>
        <v>127130</v>
      </c>
      <c r="I87" s="115"/>
      <c r="J87" s="47"/>
      <c r="K87" s="93" t="s">
        <v>757</v>
      </c>
      <c r="L87" s="224">
        <f>H87-C87</f>
        <v>116370</v>
      </c>
      <c r="M87" s="222"/>
      <c r="N87" s="72" t="s">
        <v>746</v>
      </c>
      <c r="O87" s="140">
        <f>'R1'!J46</f>
        <v>0</v>
      </c>
      <c r="P87" s="73"/>
      <c r="R87" s="85"/>
      <c r="S87" s="135" t="s">
        <v>1251</v>
      </c>
      <c r="T87" s="143">
        <f>'R1'!D45</f>
        <v>0</v>
      </c>
      <c r="U87" s="115"/>
      <c r="V87" s="47"/>
      <c r="W87" s="93" t="s">
        <v>757</v>
      </c>
      <c r="X87" s="117">
        <f>T87-O87</f>
        <v>0</v>
      </c>
      <c r="Y87" s="25"/>
    </row>
    <row r="88" spans="2:25" ht="12.75">
      <c r="B88" s="72" t="s">
        <v>752</v>
      </c>
      <c r="C88" s="142">
        <f>RepriseSurProvision_TransfertCharges</f>
        <v>0</v>
      </c>
      <c r="D88" s="73"/>
      <c r="F88" s="85"/>
      <c r="G88" s="82" t="s">
        <v>1252</v>
      </c>
      <c r="H88" s="231">
        <f>Dot_Amm_Prov_Fin</f>
        <v>1800</v>
      </c>
      <c r="I88" s="115"/>
      <c r="J88" s="47"/>
      <c r="K88" s="93" t="s">
        <v>758</v>
      </c>
      <c r="L88" s="224">
        <f>H88-C88</f>
        <v>1800</v>
      </c>
      <c r="M88" s="222"/>
      <c r="N88" s="72" t="s">
        <v>752</v>
      </c>
      <c r="O88" s="142">
        <f>RepriseSurProvision_TransfertCharges</f>
        <v>0</v>
      </c>
      <c r="P88" s="73"/>
      <c r="R88" s="85"/>
      <c r="S88" s="135" t="s">
        <v>1252</v>
      </c>
      <c r="T88" s="143">
        <f>'R1'!D32</f>
        <v>0</v>
      </c>
      <c r="U88" s="115"/>
      <c r="V88" s="47"/>
      <c r="W88" s="93" t="s">
        <v>758</v>
      </c>
      <c r="X88" s="117">
        <f>T88-O88</f>
        <v>0</v>
      </c>
      <c r="Y88" s="25"/>
    </row>
    <row r="89" spans="2:25" ht="12.75">
      <c r="B89" s="72"/>
      <c r="C89" s="142"/>
      <c r="D89" s="73"/>
      <c r="F89" s="85"/>
      <c r="G89" s="82"/>
      <c r="H89" s="231"/>
      <c r="I89" s="115"/>
      <c r="J89" s="47"/>
      <c r="K89" s="93"/>
      <c r="L89" s="224"/>
      <c r="M89" s="222"/>
      <c r="N89" s="72"/>
      <c r="O89" s="142"/>
      <c r="P89" s="73"/>
      <c r="R89" s="85"/>
      <c r="S89" s="135"/>
      <c r="T89" s="143"/>
      <c r="U89" s="115"/>
      <c r="V89" s="47"/>
      <c r="W89" s="93"/>
      <c r="X89" s="117"/>
      <c r="Y89" s="25"/>
    </row>
    <row r="90" spans="2:25" ht="12.75">
      <c r="B90" s="72"/>
      <c r="C90" s="142"/>
      <c r="D90" s="73"/>
      <c r="F90" s="85"/>
      <c r="G90" s="82"/>
      <c r="H90" s="231"/>
      <c r="I90" s="115"/>
      <c r="J90" s="47"/>
      <c r="K90" s="93"/>
      <c r="L90" s="224"/>
      <c r="M90" s="222"/>
      <c r="N90" s="72"/>
      <c r="O90" s="142"/>
      <c r="P90" s="73"/>
      <c r="R90" s="85"/>
      <c r="S90" s="135"/>
      <c r="T90" s="143"/>
      <c r="U90" s="115"/>
      <c r="V90" s="47"/>
      <c r="W90" s="93"/>
      <c r="X90" s="117"/>
      <c r="Y90" s="25"/>
    </row>
    <row r="91" spans="2:25" ht="12.75">
      <c r="B91" s="72"/>
      <c r="C91" s="119"/>
      <c r="D91" s="73"/>
      <c r="F91" s="85"/>
      <c r="G91" s="82" t="s">
        <v>753</v>
      </c>
      <c r="H91" s="86">
        <f>Dot_Ammt_Immo</f>
        <v>82260</v>
      </c>
      <c r="I91" s="115"/>
      <c r="J91" s="47"/>
      <c r="K91" s="93"/>
      <c r="L91" s="224"/>
      <c r="M91" s="222"/>
      <c r="N91" s="72"/>
      <c r="O91" s="119"/>
      <c r="P91" s="73"/>
      <c r="R91" s="85"/>
      <c r="S91" s="135" t="s">
        <v>753</v>
      </c>
      <c r="T91" s="86">
        <f>'R1'!D18</f>
        <v>0</v>
      </c>
      <c r="U91" s="115"/>
      <c r="V91" s="47"/>
      <c r="W91" s="93"/>
      <c r="X91" s="117"/>
      <c r="Y91" s="25"/>
    </row>
    <row r="92" spans="2:25" ht="12.75">
      <c r="B92" s="72"/>
      <c r="C92" s="120"/>
      <c r="D92" s="73"/>
      <c r="F92" s="85"/>
      <c r="G92" s="82" t="s">
        <v>754</v>
      </c>
      <c r="H92" s="86">
        <f>Dot_Amm_AC</f>
        <v>52500</v>
      </c>
      <c r="I92" s="115"/>
      <c r="J92" s="47"/>
      <c r="K92" s="93"/>
      <c r="L92" s="224"/>
      <c r="M92" s="222"/>
      <c r="N92" s="72"/>
      <c r="O92" s="120"/>
      <c r="P92" s="73"/>
      <c r="R92" s="85"/>
      <c r="S92" s="135" t="s">
        <v>754</v>
      </c>
      <c r="T92" s="86">
        <f>'R1'!D20</f>
        <v>0</v>
      </c>
      <c r="U92" s="115"/>
      <c r="V92" s="47"/>
      <c r="W92" s="93"/>
      <c r="X92" s="117"/>
      <c r="Y92" s="25"/>
    </row>
    <row r="93" spans="2:25" ht="12.75">
      <c r="B93" s="72" t="s">
        <v>760</v>
      </c>
      <c r="C93" s="140">
        <f>RepriseAmmProvTransfertChge</f>
        <v>47500</v>
      </c>
      <c r="D93" s="73"/>
      <c r="F93" s="85"/>
      <c r="G93" s="82"/>
      <c r="H93" s="86">
        <f>Dot_Prov_Immo</f>
        <v>0</v>
      </c>
      <c r="I93" s="115"/>
      <c r="J93" s="47"/>
      <c r="K93" s="93"/>
      <c r="L93" s="224"/>
      <c r="M93" s="222"/>
      <c r="N93" s="72" t="s">
        <v>760</v>
      </c>
      <c r="O93" s="140">
        <f>'R1'!J14</f>
        <v>0</v>
      </c>
      <c r="P93" s="73"/>
      <c r="R93" s="85"/>
      <c r="S93" s="135"/>
      <c r="T93" s="86">
        <f>Dot_Prov_Immo</f>
        <v>0</v>
      </c>
      <c r="U93" s="115"/>
      <c r="V93" s="47"/>
      <c r="W93" s="93"/>
      <c r="X93" s="117"/>
      <c r="Y93" s="25"/>
    </row>
    <row r="94" spans="2:25" ht="12.75">
      <c r="B94" s="232" t="s">
        <v>761</v>
      </c>
      <c r="C94" s="144">
        <f>Reprise_Prov_TransfertCharge_Exceptionnel</f>
        <v>10760</v>
      </c>
      <c r="D94" s="73"/>
      <c r="F94" s="85"/>
      <c r="G94" s="82" t="s">
        <v>755</v>
      </c>
      <c r="H94" s="126">
        <f>Dot_Prov_AC</f>
        <v>3000</v>
      </c>
      <c r="I94" s="115"/>
      <c r="J94" s="47"/>
      <c r="K94" s="1926" t="s">
        <v>759</v>
      </c>
      <c r="L94" s="1927">
        <f>H95-C95</f>
        <v>101020</v>
      </c>
      <c r="M94" s="222"/>
      <c r="N94" s="232" t="s">
        <v>761</v>
      </c>
      <c r="O94" s="144">
        <f>'R1'!J46</f>
        <v>0</v>
      </c>
      <c r="P94" s="73"/>
      <c r="R94" s="85"/>
      <c r="S94" s="135" t="s">
        <v>755</v>
      </c>
      <c r="T94" s="126">
        <f>'R1'!D21</f>
        <v>0</v>
      </c>
      <c r="U94" s="115"/>
      <c r="V94" s="47"/>
      <c r="W94" s="1926" t="s">
        <v>759</v>
      </c>
      <c r="X94" s="1966">
        <f>T95-O95</f>
        <v>0</v>
      </c>
      <c r="Y94" s="25"/>
    </row>
    <row r="95" spans="2:25" ht="12.75">
      <c r="B95" s="72" t="s">
        <v>1253</v>
      </c>
      <c r="C95" s="140">
        <f>C93-C94</f>
        <v>36740</v>
      </c>
      <c r="D95" s="73"/>
      <c r="F95" s="85"/>
      <c r="G95" s="82" t="s">
        <v>756</v>
      </c>
      <c r="H95" s="231">
        <f>SUM(H91:H94)</f>
        <v>137760</v>
      </c>
      <c r="I95" s="115"/>
      <c r="J95" s="47"/>
      <c r="K95" s="1926"/>
      <c r="L95" s="1927"/>
      <c r="M95" s="222"/>
      <c r="N95" s="72" t="s">
        <v>1253</v>
      </c>
      <c r="O95" s="140">
        <f>O93-O94</f>
        <v>0</v>
      </c>
      <c r="P95" s="73"/>
      <c r="R95" s="85"/>
      <c r="S95" s="135" t="s">
        <v>756</v>
      </c>
      <c r="T95" s="143">
        <f>SUM(T91:T94)</f>
        <v>0</v>
      </c>
      <c r="U95" s="115"/>
      <c r="V95" s="47"/>
      <c r="W95" s="1926"/>
      <c r="X95" s="1966"/>
      <c r="Y95" s="25"/>
    </row>
    <row r="96" spans="2:25" ht="12.75">
      <c r="B96" s="72"/>
      <c r="C96" s="120"/>
      <c r="D96" s="73"/>
      <c r="F96" s="85"/>
      <c r="G96" s="82"/>
      <c r="H96" s="231"/>
      <c r="I96" s="115"/>
      <c r="J96" s="47"/>
      <c r="K96" s="93"/>
      <c r="L96" s="224"/>
      <c r="M96" s="222"/>
      <c r="N96" s="72"/>
      <c r="O96" s="120"/>
      <c r="P96" s="73"/>
      <c r="R96" s="85"/>
      <c r="S96" s="135"/>
      <c r="T96" s="143"/>
      <c r="U96" s="115"/>
      <c r="V96" s="47"/>
      <c r="W96" s="93"/>
      <c r="X96" s="117"/>
      <c r="Y96" s="25"/>
    </row>
    <row r="97" spans="2:25" ht="12.75">
      <c r="B97" s="72"/>
      <c r="C97" s="120"/>
      <c r="D97" s="73"/>
      <c r="F97" s="85"/>
      <c r="G97" s="82"/>
      <c r="H97" s="231"/>
      <c r="I97" s="115"/>
      <c r="J97" s="47"/>
      <c r="K97" s="93"/>
      <c r="L97" s="224"/>
      <c r="M97" s="222"/>
      <c r="N97" s="72"/>
      <c r="O97" s="120"/>
      <c r="P97" s="73"/>
      <c r="R97" s="85"/>
      <c r="S97" s="135"/>
      <c r="T97" s="143"/>
      <c r="U97" s="115"/>
      <c r="V97" s="47"/>
      <c r="W97" s="93"/>
      <c r="X97" s="117"/>
      <c r="Y97" s="25"/>
    </row>
    <row r="98" spans="2:25" ht="12.75">
      <c r="B98" s="72"/>
      <c r="C98" s="140"/>
      <c r="D98" s="73"/>
      <c r="F98" s="85"/>
      <c r="G98" s="82"/>
      <c r="H98" s="231"/>
      <c r="I98" s="115"/>
      <c r="J98" s="47"/>
      <c r="K98" s="93"/>
      <c r="L98" s="224"/>
      <c r="M98" s="222"/>
      <c r="N98" s="72"/>
      <c r="O98" s="140"/>
      <c r="P98" s="73"/>
      <c r="R98" s="85"/>
      <c r="S98" s="135"/>
      <c r="T98" s="143"/>
      <c r="U98" s="115"/>
      <c r="V98" s="47"/>
      <c r="W98" s="93"/>
      <c r="X98" s="117"/>
      <c r="Y98" s="25"/>
    </row>
    <row r="99" spans="2:25" ht="12.75" customHeight="1">
      <c r="B99" s="1922" t="s">
        <v>744</v>
      </c>
      <c r="C99" s="1925">
        <f>'R1'!I68</f>
        <v>186930</v>
      </c>
      <c r="D99" s="73"/>
      <c r="E99" s="47"/>
      <c r="F99" s="81"/>
      <c r="G99" s="1923" t="s">
        <v>745</v>
      </c>
      <c r="H99" s="1924">
        <f>'R1'!C68</f>
        <v>127130</v>
      </c>
      <c r="I99" s="115"/>
      <c r="J99" s="47"/>
      <c r="K99" s="93"/>
      <c r="L99" s="224"/>
      <c r="M99" s="222"/>
      <c r="N99" s="1922" t="s">
        <v>744</v>
      </c>
      <c r="O99" s="1925">
        <f>'R1'!O68</f>
        <v>0</v>
      </c>
      <c r="P99" s="73"/>
      <c r="Q99" s="47"/>
      <c r="R99" s="81"/>
      <c r="S99" s="1923" t="s">
        <v>745</v>
      </c>
      <c r="T99" s="1924">
        <f>'R1'!S68</f>
        <v>0</v>
      </c>
      <c r="U99" s="115"/>
      <c r="V99" s="47"/>
      <c r="W99" s="93"/>
      <c r="X99" s="117"/>
      <c r="Y99" s="25"/>
    </row>
    <row r="100" spans="2:25" ht="12.75">
      <c r="B100" s="1922"/>
      <c r="C100" s="1925"/>
      <c r="D100" s="74"/>
      <c r="E100" s="47"/>
      <c r="F100" s="81"/>
      <c r="G100" s="1923"/>
      <c r="H100" s="1924"/>
      <c r="I100" s="114"/>
      <c r="K100" s="1928" t="s">
        <v>5</v>
      </c>
      <c r="L100" s="1929">
        <f>H99-C99</f>
        <v>-59800</v>
      </c>
      <c r="M100" s="222"/>
      <c r="N100" s="1922"/>
      <c r="O100" s="1925"/>
      <c r="P100" s="74"/>
      <c r="Q100" s="47"/>
      <c r="R100" s="81"/>
      <c r="S100" s="1923"/>
      <c r="T100" s="1924"/>
      <c r="U100" s="114"/>
      <c r="W100" s="1928" t="s">
        <v>5</v>
      </c>
      <c r="X100" s="1959">
        <f>T99-O99</f>
        <v>0</v>
      </c>
      <c r="Y100" s="25"/>
    </row>
    <row r="101" spans="2:25" ht="12.75">
      <c r="B101" s="72"/>
      <c r="C101" s="119"/>
      <c r="D101" s="73"/>
      <c r="E101" s="47"/>
      <c r="F101" s="81"/>
      <c r="G101" s="82"/>
      <c r="H101" s="84"/>
      <c r="I101" s="115"/>
      <c r="J101" s="47"/>
      <c r="K101" s="1928"/>
      <c r="L101" s="1929"/>
      <c r="M101" s="222"/>
      <c r="N101" s="72"/>
      <c r="O101" s="119"/>
      <c r="P101" s="73"/>
      <c r="Q101" s="47"/>
      <c r="R101" s="81"/>
      <c r="S101" s="82"/>
      <c r="T101" s="84"/>
      <c r="U101" s="115"/>
      <c r="V101" s="47"/>
      <c r="W101" s="1928"/>
      <c r="X101" s="1959"/>
      <c r="Y101" s="25"/>
    </row>
    <row r="102" spans="2:25" ht="12.75">
      <c r="B102" s="72"/>
      <c r="C102" s="119"/>
      <c r="D102" s="73"/>
      <c r="F102" s="85"/>
      <c r="G102" s="82"/>
      <c r="H102" s="84"/>
      <c r="I102" s="114"/>
      <c r="K102" s="93"/>
      <c r="L102" s="224"/>
      <c r="M102" s="222"/>
      <c r="N102" s="72"/>
      <c r="O102" s="119"/>
      <c r="P102" s="73"/>
      <c r="R102" s="85"/>
      <c r="S102" s="82"/>
      <c r="T102" s="84"/>
      <c r="U102" s="114"/>
      <c r="W102" s="93"/>
      <c r="X102" s="117"/>
      <c r="Y102" s="25"/>
    </row>
    <row r="103" spans="2:25" ht="12.75">
      <c r="B103" s="72"/>
      <c r="C103" s="119"/>
      <c r="D103" s="73"/>
      <c r="E103" s="47"/>
      <c r="F103" s="81"/>
      <c r="G103" s="82"/>
      <c r="H103" s="84"/>
      <c r="I103" s="115"/>
      <c r="J103" s="47"/>
      <c r="K103" s="145" t="s">
        <v>762</v>
      </c>
      <c r="L103" s="235">
        <f>SUM(L86:L101)</f>
        <v>405046</v>
      </c>
      <c r="M103" s="222"/>
      <c r="N103" s="72"/>
      <c r="O103" s="119"/>
      <c r="P103" s="73"/>
      <c r="Q103" s="47"/>
      <c r="R103" s="81"/>
      <c r="S103" s="82"/>
      <c r="T103" s="84"/>
      <c r="U103" s="115"/>
      <c r="V103" s="47"/>
      <c r="W103" s="145" t="s">
        <v>762</v>
      </c>
      <c r="X103" s="153">
        <f>SUM(X86:X101)</f>
        <v>0</v>
      </c>
      <c r="Y103" s="25"/>
    </row>
    <row r="104" spans="2:25" ht="12.75">
      <c r="B104" s="77"/>
      <c r="C104" s="123"/>
      <c r="D104" s="75"/>
      <c r="E104" s="365"/>
      <c r="F104" s="136"/>
      <c r="G104" s="91"/>
      <c r="H104" s="91"/>
      <c r="I104" s="116"/>
      <c r="J104" s="155"/>
      <c r="K104" s="94"/>
      <c r="L104" s="225"/>
      <c r="M104" s="1171"/>
      <c r="N104" s="72"/>
      <c r="O104" s="119"/>
      <c r="P104" s="73"/>
      <c r="Q104" s="47"/>
      <c r="R104" s="81"/>
      <c r="S104" s="82"/>
      <c r="T104" s="82"/>
      <c r="U104" s="114"/>
      <c r="W104" s="93"/>
      <c r="X104" s="117"/>
      <c r="Y104" s="25"/>
    </row>
    <row r="105" spans="2:25" ht="12.75">
      <c r="B105" s="1978" t="s">
        <v>129</v>
      </c>
      <c r="C105" s="1979"/>
      <c r="D105" s="1979"/>
      <c r="E105" s="1979"/>
      <c r="F105" s="1979"/>
      <c r="G105" s="1979"/>
      <c r="H105" s="1979"/>
      <c r="I105" s="1979"/>
      <c r="J105" s="1979"/>
      <c r="K105" s="1980"/>
      <c r="L105" s="1981"/>
      <c r="M105" s="1174"/>
      <c r="N105" s="1982"/>
      <c r="O105" s="1983"/>
      <c r="P105" s="1984"/>
      <c r="Q105" s="47"/>
      <c r="R105" s="1985"/>
      <c r="S105" s="1627"/>
      <c r="T105" s="1627"/>
      <c r="U105" s="1986"/>
      <c r="V105" s="47"/>
      <c r="W105" s="1964"/>
      <c r="X105" s="1965"/>
      <c r="Y105" s="25"/>
    </row>
    <row r="106" spans="2:25" ht="12.75">
      <c r="B106" s="72" t="s">
        <v>125</v>
      </c>
      <c r="C106" s="119"/>
      <c r="D106" s="74"/>
      <c r="F106" s="85"/>
      <c r="G106" s="82" t="s">
        <v>125</v>
      </c>
      <c r="H106" s="233">
        <f>-StockMses</f>
        <v>0</v>
      </c>
      <c r="I106" s="124"/>
      <c r="J106" s="47"/>
      <c r="K106" s="92"/>
      <c r="L106" s="1172">
        <f>C106-H106</f>
        <v>0</v>
      </c>
      <c r="M106" s="1173"/>
      <c r="N106" s="72"/>
      <c r="O106" s="119"/>
      <c r="P106" s="74"/>
      <c r="R106" s="85"/>
      <c r="S106" s="82"/>
      <c r="T106" s="84"/>
      <c r="U106" s="115"/>
      <c r="V106" s="47"/>
      <c r="W106" s="93"/>
      <c r="X106" s="117"/>
      <c r="Y106" s="25"/>
    </row>
    <row r="107" spans="2:25" ht="12.75">
      <c r="B107" s="72" t="s">
        <v>131</v>
      </c>
      <c r="C107" s="119"/>
      <c r="D107" s="73"/>
      <c r="F107" s="85"/>
      <c r="G107" s="82" t="s">
        <v>126</v>
      </c>
      <c r="H107" s="233">
        <f>StockMat1ères</f>
        <v>44640</v>
      </c>
      <c r="I107" s="115"/>
      <c r="J107" s="47"/>
      <c r="K107" s="93"/>
      <c r="L107" s="224">
        <f>C107-H107</f>
        <v>-44640</v>
      </c>
      <c r="M107" s="222"/>
      <c r="N107" s="72"/>
      <c r="O107" s="119"/>
      <c r="P107" s="73"/>
      <c r="R107" s="85"/>
      <c r="S107" s="82"/>
      <c r="T107" s="84"/>
      <c r="U107" s="115"/>
      <c r="V107" s="47"/>
      <c r="W107" s="93"/>
      <c r="X107" s="117"/>
      <c r="Y107" s="25"/>
    </row>
    <row r="108" spans="2:25" ht="12.75">
      <c r="B108" s="72" t="s">
        <v>128</v>
      </c>
      <c r="C108" s="119"/>
      <c r="D108" s="73"/>
      <c r="F108" s="85"/>
      <c r="G108" s="82" t="s">
        <v>127</v>
      </c>
      <c r="H108" s="233">
        <f>SUM(H106:H107)</f>
        <v>44640</v>
      </c>
      <c r="I108" s="115"/>
      <c r="J108" s="47"/>
      <c r="K108" s="93" t="s">
        <v>130</v>
      </c>
      <c r="L108" s="224">
        <f>SUM(L106:L107)</f>
        <v>-44640</v>
      </c>
      <c r="M108" s="222"/>
      <c r="N108" s="72"/>
      <c r="O108" s="119"/>
      <c r="P108" s="73"/>
      <c r="R108" s="85"/>
      <c r="S108" s="82"/>
      <c r="T108" s="84"/>
      <c r="U108" s="115"/>
      <c r="V108" s="47"/>
      <c r="W108" s="93"/>
      <c r="X108" s="117"/>
      <c r="Y108" s="25"/>
    </row>
    <row r="109" spans="2:25" ht="12.75">
      <c r="B109" s="72"/>
      <c r="C109" s="119"/>
      <c r="D109" s="73"/>
      <c r="F109" s="85"/>
      <c r="G109" s="82"/>
      <c r="H109" s="84"/>
      <c r="I109" s="114"/>
      <c r="K109" s="93"/>
      <c r="L109" s="224"/>
      <c r="M109" s="222"/>
      <c r="N109" s="72"/>
      <c r="O109" s="119"/>
      <c r="P109" s="73"/>
      <c r="R109" s="85"/>
      <c r="S109" s="82"/>
      <c r="T109" s="84"/>
      <c r="U109" s="115"/>
      <c r="W109" s="93"/>
      <c r="X109" s="117"/>
      <c r="Y109" s="25"/>
    </row>
    <row r="110" spans="2:25" ht="12.75">
      <c r="B110" s="72"/>
      <c r="C110" s="119"/>
      <c r="D110" s="73"/>
      <c r="F110" s="85"/>
      <c r="G110" s="82" t="s">
        <v>1179</v>
      </c>
      <c r="H110" s="84">
        <f>H3</f>
        <v>0</v>
      </c>
      <c r="I110" s="114"/>
      <c r="K110" s="93"/>
      <c r="L110" s="224"/>
      <c r="M110" s="222"/>
      <c r="N110" s="72"/>
      <c r="O110" s="119"/>
      <c r="P110" s="73"/>
      <c r="R110" s="85"/>
      <c r="S110" s="82"/>
      <c r="T110" s="84"/>
      <c r="U110" s="115"/>
      <c r="W110" s="94"/>
      <c r="X110" s="152"/>
      <c r="Y110" s="25"/>
    </row>
    <row r="111" spans="2:25" ht="12.75">
      <c r="B111" s="72"/>
      <c r="C111" s="119"/>
      <c r="D111" s="73"/>
      <c r="F111" s="85"/>
      <c r="G111" s="82" t="s">
        <v>1192</v>
      </c>
      <c r="H111" s="84">
        <f>H15</f>
        <v>3753000</v>
      </c>
      <c r="I111" s="114"/>
      <c r="K111" s="93"/>
      <c r="L111" s="224"/>
      <c r="M111" s="222"/>
      <c r="N111" s="72"/>
      <c r="O111" s="119"/>
      <c r="P111" s="73"/>
      <c r="R111" s="85"/>
      <c r="S111" s="82"/>
      <c r="T111" s="84"/>
      <c r="U111" s="115"/>
      <c r="Y111" s="25"/>
    </row>
    <row r="112" spans="2:25" ht="12.75">
      <c r="B112" s="77"/>
      <c r="C112" s="123"/>
      <c r="D112" s="75"/>
      <c r="E112" s="14"/>
      <c r="F112" s="90"/>
      <c r="G112" s="91" t="s">
        <v>810</v>
      </c>
      <c r="H112" s="128">
        <f>SUM(H110:H111)</f>
        <v>3753000</v>
      </c>
      <c r="I112" s="116"/>
      <c r="J112" s="14"/>
      <c r="K112" s="94"/>
      <c r="L112" s="225"/>
      <c r="M112" s="1171"/>
      <c r="N112" s="77"/>
      <c r="O112" s="123"/>
      <c r="P112" s="75"/>
      <c r="R112" s="85"/>
      <c r="S112" s="82"/>
      <c r="T112" s="84"/>
      <c r="U112" s="115"/>
      <c r="Y112" s="25"/>
    </row>
    <row r="113" spans="2:25" ht="12.75">
      <c r="B113" s="1930" t="s">
        <v>1215</v>
      </c>
      <c r="C113" s="1931"/>
      <c r="D113" s="1931"/>
      <c r="E113" s="1931"/>
      <c r="F113" s="1931"/>
      <c r="G113" s="1931"/>
      <c r="H113" s="1931"/>
      <c r="I113" s="1931"/>
      <c r="J113" s="1931"/>
      <c r="K113" s="1931"/>
      <c r="L113" s="1931"/>
      <c r="M113" s="1931"/>
      <c r="N113" s="1932" t="s">
        <v>31</v>
      </c>
      <c r="O113" s="1932"/>
      <c r="P113" s="1932"/>
      <c r="Q113" s="1932"/>
      <c r="R113" s="1932"/>
      <c r="S113" s="1932"/>
      <c r="T113" s="1932"/>
      <c r="U113" s="1932"/>
      <c r="V113" s="1932"/>
      <c r="W113" s="1932"/>
      <c r="X113" s="1932"/>
      <c r="Y113" s="25"/>
    </row>
    <row r="114" spans="2:25" ht="12.75">
      <c r="B114" s="1860" t="str">
        <f>B77</f>
        <v>ANNEE N</v>
      </c>
      <c r="C114" s="1861"/>
      <c r="D114" s="105"/>
      <c r="E114" s="32"/>
      <c r="F114" s="1956">
        <f>F77</f>
        <v>0</v>
      </c>
      <c r="G114" s="1957"/>
      <c r="H114" s="1957"/>
      <c r="I114" s="1958"/>
      <c r="J114" s="28"/>
      <c r="K114" s="1948">
        <f>K77</f>
        <v>0</v>
      </c>
      <c r="L114" s="1963"/>
      <c r="M114" s="1963"/>
      <c r="N114" s="1861" t="str">
        <f>N77</f>
        <v>ANNEE N - 1</v>
      </c>
      <c r="O114" s="1861"/>
      <c r="P114" s="71"/>
      <c r="Q114" s="69"/>
      <c r="R114" s="1956">
        <f>R77</f>
        <v>0</v>
      </c>
      <c r="S114" s="1957"/>
      <c r="T114" s="1957"/>
      <c r="U114" s="1958"/>
      <c r="V114" s="69"/>
      <c r="W114" s="1938">
        <f>W77</f>
        <v>0</v>
      </c>
      <c r="X114" s="1962"/>
      <c r="Y114" s="25"/>
    </row>
    <row r="115" spans="2:25" ht="12.75">
      <c r="B115" s="72"/>
      <c r="C115" s="119"/>
      <c r="D115" s="73"/>
      <c r="E115" s="44"/>
      <c r="F115" s="34"/>
      <c r="G115" s="82"/>
      <c r="H115" s="82"/>
      <c r="I115" s="114"/>
      <c r="K115" s="93"/>
      <c r="L115" s="224" t="s">
        <v>29</v>
      </c>
      <c r="M115" s="93" t="s">
        <v>9</v>
      </c>
      <c r="N115" s="72"/>
      <c r="O115" s="119"/>
      <c r="P115" s="73"/>
      <c r="Q115" s="44"/>
      <c r="R115" s="34"/>
      <c r="S115" s="82"/>
      <c r="T115" s="82"/>
      <c r="U115" s="114"/>
      <c r="W115" s="93"/>
      <c r="X115" s="117"/>
      <c r="Y115" s="25"/>
    </row>
    <row r="116" spans="2:25" ht="12.75">
      <c r="B116" s="72"/>
      <c r="C116" s="119"/>
      <c r="D116" s="73"/>
      <c r="E116" s="44"/>
      <c r="F116" s="34"/>
      <c r="G116" s="82"/>
      <c r="H116" s="84"/>
      <c r="I116" s="114"/>
      <c r="K116" s="93"/>
      <c r="L116" s="224"/>
      <c r="M116" s="93"/>
      <c r="N116" s="72"/>
      <c r="O116" s="119"/>
      <c r="P116" s="73"/>
      <c r="Q116" s="44"/>
      <c r="R116" s="34"/>
      <c r="S116" s="82"/>
      <c r="T116" s="84"/>
      <c r="U116" s="114"/>
      <c r="W116" s="93"/>
      <c r="X116" s="117"/>
      <c r="Y116" s="25"/>
    </row>
    <row r="117" spans="2:25" ht="12.75">
      <c r="B117" s="72"/>
      <c r="C117" s="119"/>
      <c r="D117" s="73"/>
      <c r="E117" s="44"/>
      <c r="F117" s="34"/>
      <c r="G117" s="82"/>
      <c r="H117" s="84"/>
      <c r="I117" s="114"/>
      <c r="K117" s="93" t="s">
        <v>942</v>
      </c>
      <c r="L117" s="224">
        <f>Résultat_net</f>
        <v>245656</v>
      </c>
      <c r="M117" s="93"/>
      <c r="N117" s="72"/>
      <c r="O117" s="119"/>
      <c r="P117" s="73"/>
      <c r="Q117" s="44"/>
      <c r="R117" s="34"/>
      <c r="S117" s="82"/>
      <c r="T117" s="84"/>
      <c r="U117" s="114"/>
      <c r="W117" s="93"/>
      <c r="X117" s="117"/>
      <c r="Y117" s="25"/>
    </row>
    <row r="118" spans="2:25" ht="12.75">
      <c r="B118" s="72"/>
      <c r="C118" s="119"/>
      <c r="D118" s="73"/>
      <c r="E118" s="44"/>
      <c r="F118" s="34"/>
      <c r="G118" s="82"/>
      <c r="H118" s="84"/>
      <c r="I118" s="114"/>
      <c r="K118" s="93"/>
      <c r="L118" s="224">
        <v>87900</v>
      </c>
      <c r="M118" s="93" t="s">
        <v>921</v>
      </c>
      <c r="N118" s="72"/>
      <c r="O118" s="119"/>
      <c r="P118" s="73"/>
      <c r="Q118" s="44"/>
      <c r="R118" s="34"/>
      <c r="S118" s="82"/>
      <c r="T118" s="84"/>
      <c r="U118" s="114"/>
      <c r="W118" s="93"/>
      <c r="X118" s="117"/>
      <c r="Y118" s="25"/>
    </row>
    <row r="119" spans="2:25" ht="12.75">
      <c r="B119" s="72"/>
      <c r="C119" s="119"/>
      <c r="D119" s="73"/>
      <c r="E119" s="44"/>
      <c r="F119" s="34"/>
      <c r="G119" s="82"/>
      <c r="H119" s="84"/>
      <c r="I119" s="114"/>
      <c r="K119" s="93" t="s">
        <v>943</v>
      </c>
      <c r="L119" s="224">
        <f>'BD'!H18</f>
        <v>2000</v>
      </c>
      <c r="M119" s="93"/>
      <c r="N119" s="72"/>
      <c r="O119" s="119"/>
      <c r="P119" s="73"/>
      <c r="Q119" s="44"/>
      <c r="R119" s="34"/>
      <c r="S119" s="82"/>
      <c r="T119" s="84"/>
      <c r="U119" s="114"/>
      <c r="W119" s="93"/>
      <c r="X119" s="117"/>
      <c r="Y119" s="25"/>
    </row>
    <row r="120" spans="2:25" ht="12.75">
      <c r="B120" s="72"/>
      <c r="C120" s="119"/>
      <c r="D120" s="73"/>
      <c r="E120" s="44"/>
      <c r="F120" s="34"/>
      <c r="G120" s="82"/>
      <c r="H120" s="84"/>
      <c r="I120" s="114"/>
      <c r="K120" s="93" t="s">
        <v>920</v>
      </c>
      <c r="L120" s="224">
        <f>SUM(L117:L119)</f>
        <v>335556</v>
      </c>
      <c r="M120" s="93"/>
      <c r="N120" s="72"/>
      <c r="O120" s="119"/>
      <c r="P120" s="73"/>
      <c r="Q120" s="44"/>
      <c r="R120" s="34"/>
      <c r="S120" s="82"/>
      <c r="T120" s="84"/>
      <c r="U120" s="114"/>
      <c r="W120" s="93"/>
      <c r="X120" s="117"/>
      <c r="Y120" s="25"/>
    </row>
    <row r="121" spans="2:25" ht="12.75">
      <c r="B121" s="72"/>
      <c r="C121" s="119"/>
      <c r="D121" s="73"/>
      <c r="E121" s="47"/>
      <c r="F121" s="81"/>
      <c r="G121" s="82"/>
      <c r="H121" s="84"/>
      <c r="I121" s="115"/>
      <c r="J121" s="47"/>
      <c r="K121" s="93"/>
      <c r="L121" s="224"/>
      <c r="M121" s="93"/>
      <c r="N121" s="72"/>
      <c r="O121" s="119"/>
      <c r="P121" s="73"/>
      <c r="Q121" s="47"/>
      <c r="R121" s="81"/>
      <c r="S121" s="82"/>
      <c r="T121" s="84"/>
      <c r="U121" s="115"/>
      <c r="V121" s="47"/>
      <c r="W121" s="93"/>
      <c r="X121" s="117"/>
      <c r="Y121" s="25"/>
    </row>
    <row r="122" spans="2:25" ht="12.75">
      <c r="B122" s="72"/>
      <c r="C122" s="119"/>
      <c r="D122" s="73"/>
      <c r="E122" s="47"/>
      <c r="F122" s="81"/>
      <c r="G122" s="82"/>
      <c r="H122" s="84"/>
      <c r="I122" s="115"/>
      <c r="J122" s="47"/>
      <c r="K122" s="93"/>
      <c r="L122" s="224"/>
      <c r="M122" s="93"/>
      <c r="N122" s="72"/>
      <c r="O122" s="119"/>
      <c r="P122" s="73"/>
      <c r="Q122" s="47"/>
      <c r="R122" s="81"/>
      <c r="S122" s="82"/>
      <c r="T122" s="84"/>
      <c r="U122" s="115"/>
      <c r="V122" s="47"/>
      <c r="W122" s="93"/>
      <c r="X122" s="117"/>
      <c r="Y122" s="25"/>
    </row>
    <row r="123" spans="2:25" ht="12.75">
      <c r="B123" s="72"/>
      <c r="C123" s="119"/>
      <c r="D123" s="73"/>
      <c r="E123" s="47"/>
      <c r="F123" s="81"/>
      <c r="G123" s="82"/>
      <c r="H123" s="84"/>
      <c r="I123" s="115"/>
      <c r="J123" s="47"/>
      <c r="K123" s="93"/>
      <c r="L123" s="224"/>
      <c r="M123" s="93"/>
      <c r="N123" s="72"/>
      <c r="O123" s="119"/>
      <c r="P123" s="73"/>
      <c r="Q123" s="47"/>
      <c r="R123" s="81"/>
      <c r="S123" s="82"/>
      <c r="T123" s="84"/>
      <c r="U123" s="115"/>
      <c r="V123" s="47"/>
      <c r="W123" s="93"/>
      <c r="X123" s="117"/>
      <c r="Y123" s="25"/>
    </row>
    <row r="124" spans="2:25" ht="12.75">
      <c r="B124" s="72"/>
      <c r="C124" s="119"/>
      <c r="D124" s="73"/>
      <c r="E124" s="47"/>
      <c r="F124" s="81"/>
      <c r="G124" s="82"/>
      <c r="H124" s="84"/>
      <c r="I124" s="115"/>
      <c r="J124" s="47"/>
      <c r="K124" s="93"/>
      <c r="L124" s="224"/>
      <c r="M124" s="93"/>
      <c r="N124" s="72"/>
      <c r="O124" s="119"/>
      <c r="P124" s="73"/>
      <c r="Q124" s="47"/>
      <c r="R124" s="81"/>
      <c r="S124" s="82"/>
      <c r="T124" s="84"/>
      <c r="U124" s="115"/>
      <c r="V124" s="47"/>
      <c r="W124" s="93"/>
      <c r="X124" s="117"/>
      <c r="Y124" s="25"/>
    </row>
    <row r="125" spans="2:25" ht="12.75">
      <c r="B125" s="72"/>
      <c r="C125" s="119"/>
      <c r="D125" s="73"/>
      <c r="E125" s="47"/>
      <c r="F125" s="81"/>
      <c r="G125" s="82"/>
      <c r="H125" s="82"/>
      <c r="I125" s="115"/>
      <c r="J125" s="47"/>
      <c r="K125" s="93"/>
      <c r="L125" s="224"/>
      <c r="M125" s="93"/>
      <c r="N125" s="72"/>
      <c r="O125" s="119"/>
      <c r="P125" s="73"/>
      <c r="Q125" s="47"/>
      <c r="R125" s="81"/>
      <c r="S125" s="82"/>
      <c r="T125" s="82"/>
      <c r="U125" s="115"/>
      <c r="V125" s="47"/>
      <c r="W125" s="93"/>
      <c r="X125" s="117"/>
      <c r="Y125" s="25"/>
    </row>
    <row r="126" spans="2:25" ht="12.75">
      <c r="B126" s="72"/>
      <c r="C126" s="119"/>
      <c r="D126" s="73"/>
      <c r="E126" s="47"/>
      <c r="F126" s="81"/>
      <c r="G126" s="82"/>
      <c r="H126" s="84"/>
      <c r="I126" s="115"/>
      <c r="J126" s="47"/>
      <c r="K126" s="93"/>
      <c r="L126" s="224"/>
      <c r="M126" s="93"/>
      <c r="N126" s="72"/>
      <c r="O126" s="119"/>
      <c r="P126" s="73"/>
      <c r="Q126" s="47"/>
      <c r="R126" s="81"/>
      <c r="S126" s="82"/>
      <c r="T126" s="84"/>
      <c r="U126" s="115"/>
      <c r="V126" s="47"/>
      <c r="W126" s="93"/>
      <c r="X126" s="117"/>
      <c r="Y126" s="25"/>
    </row>
    <row r="127" spans="2:25" ht="12.75">
      <c r="B127" s="72"/>
      <c r="C127" s="119"/>
      <c r="D127" s="74"/>
      <c r="E127" s="47"/>
      <c r="F127" s="81"/>
      <c r="G127" s="82"/>
      <c r="H127" s="84"/>
      <c r="I127" s="115"/>
      <c r="J127" s="47"/>
      <c r="K127" s="93"/>
      <c r="L127" s="224"/>
      <c r="M127" s="93"/>
      <c r="N127" s="72"/>
      <c r="O127" s="119"/>
      <c r="P127" s="74"/>
      <c r="Q127" s="47"/>
      <c r="R127" s="81"/>
      <c r="S127" s="82"/>
      <c r="T127" s="84"/>
      <c r="U127" s="115"/>
      <c r="V127" s="47"/>
      <c r="W127" s="93"/>
      <c r="X127" s="117"/>
      <c r="Y127" s="25"/>
    </row>
    <row r="128" spans="2:25" ht="12.75">
      <c r="B128" s="72"/>
      <c r="C128" s="119"/>
      <c r="D128" s="73"/>
      <c r="E128" s="47"/>
      <c r="F128" s="81"/>
      <c r="G128" s="82"/>
      <c r="H128" s="82"/>
      <c r="I128" s="115"/>
      <c r="J128" s="47"/>
      <c r="K128" s="93"/>
      <c r="L128" s="224"/>
      <c r="M128" s="93"/>
      <c r="N128" s="72"/>
      <c r="O128" s="119"/>
      <c r="P128" s="73"/>
      <c r="Q128" s="47"/>
      <c r="R128" s="81"/>
      <c r="S128" s="82"/>
      <c r="T128" s="82"/>
      <c r="U128" s="115"/>
      <c r="V128" s="47"/>
      <c r="W128" s="93"/>
      <c r="X128" s="117"/>
      <c r="Y128" s="25"/>
    </row>
    <row r="129" spans="2:25" ht="12.75">
      <c r="B129" s="72"/>
      <c r="C129" s="119"/>
      <c r="D129" s="73"/>
      <c r="E129" s="47"/>
      <c r="F129" s="81"/>
      <c r="G129" s="82"/>
      <c r="H129" s="84"/>
      <c r="I129" s="115"/>
      <c r="J129" s="47"/>
      <c r="K129" s="93"/>
      <c r="L129" s="224"/>
      <c r="M129" s="93"/>
      <c r="N129" s="72"/>
      <c r="O129" s="119"/>
      <c r="P129" s="73"/>
      <c r="Q129" s="47"/>
      <c r="R129" s="81"/>
      <c r="S129" s="82"/>
      <c r="T129" s="84"/>
      <c r="U129" s="115"/>
      <c r="V129" s="47"/>
      <c r="W129" s="93"/>
      <c r="X129" s="117"/>
      <c r="Y129" s="25"/>
    </row>
    <row r="130" spans="2:25" ht="12.75">
      <c r="B130" s="72"/>
      <c r="C130" s="119"/>
      <c r="D130" s="73"/>
      <c r="E130" s="47"/>
      <c r="F130" s="81"/>
      <c r="G130" s="82"/>
      <c r="H130" s="84"/>
      <c r="I130" s="115"/>
      <c r="J130" s="47"/>
      <c r="K130" s="93"/>
      <c r="L130" s="224"/>
      <c r="M130" s="93"/>
      <c r="N130" s="72"/>
      <c r="O130" s="119"/>
      <c r="P130" s="73"/>
      <c r="Q130" s="47"/>
      <c r="R130" s="81"/>
      <c r="S130" s="82"/>
      <c r="T130" s="84"/>
      <c r="U130" s="115"/>
      <c r="V130" s="47"/>
      <c r="W130" s="93"/>
      <c r="X130" s="117"/>
      <c r="Y130" s="25"/>
    </row>
    <row r="131" spans="2:25" ht="12.75">
      <c r="B131" s="72"/>
      <c r="C131" s="119"/>
      <c r="D131" s="73"/>
      <c r="E131" s="47"/>
      <c r="F131" s="81"/>
      <c r="G131" s="82"/>
      <c r="H131" s="84"/>
      <c r="I131" s="115"/>
      <c r="J131" s="47"/>
      <c r="K131" s="93"/>
      <c r="L131" s="224"/>
      <c r="M131" s="93"/>
      <c r="N131" s="72"/>
      <c r="O131" s="119"/>
      <c r="P131" s="73"/>
      <c r="Q131" s="47"/>
      <c r="R131" s="81"/>
      <c r="S131" s="82"/>
      <c r="T131" s="84"/>
      <c r="U131" s="115"/>
      <c r="V131" s="47"/>
      <c r="W131" s="93"/>
      <c r="X131" s="117"/>
      <c r="Y131" s="25"/>
    </row>
    <row r="132" spans="2:25" ht="12.75">
      <c r="B132" s="72"/>
      <c r="C132" s="119"/>
      <c r="D132" s="73"/>
      <c r="E132" s="47"/>
      <c r="F132" s="81"/>
      <c r="G132" s="82"/>
      <c r="H132" s="84"/>
      <c r="I132" s="115"/>
      <c r="J132" s="47"/>
      <c r="K132" s="93"/>
      <c r="L132" s="224"/>
      <c r="M132" s="93"/>
      <c r="N132" s="72"/>
      <c r="O132" s="119"/>
      <c r="P132" s="73"/>
      <c r="Q132" s="47"/>
      <c r="R132" s="81"/>
      <c r="S132" s="82"/>
      <c r="T132" s="84"/>
      <c r="U132" s="115"/>
      <c r="V132" s="47"/>
      <c r="W132" s="93"/>
      <c r="X132" s="117"/>
      <c r="Y132" s="25"/>
    </row>
    <row r="133" spans="2:25" ht="12.75">
      <c r="B133" s="72"/>
      <c r="C133" s="119"/>
      <c r="D133" s="73"/>
      <c r="F133" s="85"/>
      <c r="G133" s="82"/>
      <c r="H133" s="84"/>
      <c r="I133" s="115"/>
      <c r="J133" s="47"/>
      <c r="K133" s="93"/>
      <c r="L133" s="224"/>
      <c r="M133" s="93"/>
      <c r="N133" s="72"/>
      <c r="O133" s="119"/>
      <c r="P133" s="73"/>
      <c r="R133" s="85"/>
      <c r="S133" s="82"/>
      <c r="T133" s="84"/>
      <c r="U133" s="115"/>
      <c r="V133" s="47"/>
      <c r="W133" s="93"/>
      <c r="X133" s="117"/>
      <c r="Y133" s="25"/>
    </row>
    <row r="134" spans="2:25" ht="12.75">
      <c r="B134" s="72"/>
      <c r="C134" s="119"/>
      <c r="D134" s="73"/>
      <c r="E134" s="47"/>
      <c r="F134" s="81"/>
      <c r="G134" s="82"/>
      <c r="H134" s="84"/>
      <c r="I134" s="115"/>
      <c r="J134" s="47"/>
      <c r="K134" s="93"/>
      <c r="L134" s="224"/>
      <c r="M134" s="93"/>
      <c r="N134" s="72"/>
      <c r="O134" s="119"/>
      <c r="P134" s="73"/>
      <c r="Q134" s="47"/>
      <c r="R134" s="81"/>
      <c r="S134" s="82"/>
      <c r="T134" s="84"/>
      <c r="U134" s="115"/>
      <c r="V134" s="47"/>
      <c r="W134" s="93"/>
      <c r="X134" s="117"/>
      <c r="Y134" s="25"/>
    </row>
    <row r="135" spans="2:25" ht="12.75">
      <c r="B135" s="72"/>
      <c r="C135" s="119"/>
      <c r="D135" s="74"/>
      <c r="E135" s="47"/>
      <c r="F135" s="81"/>
      <c r="G135" s="82"/>
      <c r="H135" s="84"/>
      <c r="I135" s="114"/>
      <c r="K135" s="93"/>
      <c r="L135" s="224"/>
      <c r="M135" s="93"/>
      <c r="N135" s="72"/>
      <c r="O135" s="119"/>
      <c r="P135" s="74"/>
      <c r="Q135" s="47"/>
      <c r="R135" s="81"/>
      <c r="S135" s="82"/>
      <c r="T135" s="84"/>
      <c r="U135" s="114"/>
      <c r="W135" s="93"/>
      <c r="X135" s="117"/>
      <c r="Y135" s="25"/>
    </row>
    <row r="136" spans="2:25" ht="12.75">
      <c r="B136" s="72"/>
      <c r="C136" s="119"/>
      <c r="D136" s="73"/>
      <c r="E136" s="47"/>
      <c r="F136" s="81"/>
      <c r="G136" s="82"/>
      <c r="H136" s="84"/>
      <c r="I136" s="115"/>
      <c r="J136" s="47"/>
      <c r="K136" s="93"/>
      <c r="L136" s="224"/>
      <c r="M136" s="93"/>
      <c r="N136" s="72"/>
      <c r="O136" s="119"/>
      <c r="P136" s="73"/>
      <c r="Q136" s="47"/>
      <c r="R136" s="81"/>
      <c r="S136" s="82"/>
      <c r="T136" s="84"/>
      <c r="U136" s="115"/>
      <c r="V136" s="47"/>
      <c r="W136" s="93"/>
      <c r="X136" s="117"/>
      <c r="Y136" s="25"/>
    </row>
    <row r="137" spans="2:25" ht="12.75">
      <c r="B137" s="72"/>
      <c r="C137" s="119"/>
      <c r="D137" s="73"/>
      <c r="F137" s="85"/>
      <c r="G137" s="82"/>
      <c r="H137" s="84"/>
      <c r="I137" s="114"/>
      <c r="K137" s="93"/>
      <c r="L137" s="224"/>
      <c r="M137" s="93"/>
      <c r="N137" s="72"/>
      <c r="O137" s="119"/>
      <c r="P137" s="73"/>
      <c r="R137" s="85"/>
      <c r="S137" s="82"/>
      <c r="T137" s="84"/>
      <c r="U137" s="114"/>
      <c r="W137" s="93"/>
      <c r="X137" s="117"/>
      <c r="Y137" s="25"/>
    </row>
    <row r="138" spans="2:25" ht="12.75">
      <c r="B138" s="72"/>
      <c r="C138" s="119"/>
      <c r="D138" s="73"/>
      <c r="E138" s="47"/>
      <c r="F138" s="81"/>
      <c r="G138" s="82"/>
      <c r="H138" s="82"/>
      <c r="I138" s="114"/>
      <c r="K138" s="93"/>
      <c r="L138" s="224"/>
      <c r="M138" s="93"/>
      <c r="N138" s="72"/>
      <c r="O138" s="119"/>
      <c r="P138" s="73"/>
      <c r="Q138" s="47"/>
      <c r="R138" s="81"/>
      <c r="S138" s="82"/>
      <c r="T138" s="82"/>
      <c r="U138" s="114"/>
      <c r="W138" s="93"/>
      <c r="X138" s="117"/>
      <c r="Y138" s="25"/>
    </row>
    <row r="139" spans="2:25" ht="12.75">
      <c r="B139" s="72"/>
      <c r="C139" s="119"/>
      <c r="D139" s="73"/>
      <c r="E139" s="47"/>
      <c r="F139" s="81"/>
      <c r="G139" s="82"/>
      <c r="H139" s="82"/>
      <c r="I139" s="114"/>
      <c r="K139" s="93"/>
      <c r="L139" s="224"/>
      <c r="M139" s="93"/>
      <c r="N139" s="72"/>
      <c r="O139" s="119"/>
      <c r="P139" s="73"/>
      <c r="Q139" s="47"/>
      <c r="R139" s="81"/>
      <c r="S139" s="82"/>
      <c r="T139" s="82"/>
      <c r="U139" s="114"/>
      <c r="W139" s="93"/>
      <c r="X139" s="117"/>
      <c r="Y139" s="25"/>
    </row>
    <row r="140" spans="2:25" ht="12.75">
      <c r="B140" s="72"/>
      <c r="C140" s="119"/>
      <c r="D140" s="73"/>
      <c r="E140" s="47"/>
      <c r="F140" s="81"/>
      <c r="G140" s="82"/>
      <c r="H140" s="82"/>
      <c r="I140" s="114"/>
      <c r="K140" s="93"/>
      <c r="L140" s="224"/>
      <c r="M140" s="93"/>
      <c r="N140" s="72"/>
      <c r="O140" s="119"/>
      <c r="P140" s="73"/>
      <c r="Q140" s="47"/>
      <c r="R140" s="81"/>
      <c r="S140" s="82"/>
      <c r="T140" s="82"/>
      <c r="U140" s="114"/>
      <c r="W140" s="93"/>
      <c r="X140" s="117"/>
      <c r="Y140" s="25"/>
    </row>
    <row r="141" spans="2:25" ht="12.75">
      <c r="B141" s="72"/>
      <c r="C141" s="119"/>
      <c r="D141" s="73"/>
      <c r="E141" s="47"/>
      <c r="F141" s="81"/>
      <c r="G141" s="82"/>
      <c r="H141" s="82"/>
      <c r="I141" s="114"/>
      <c r="K141" s="93"/>
      <c r="L141" s="224"/>
      <c r="M141" s="93"/>
      <c r="N141" s="72"/>
      <c r="O141" s="119"/>
      <c r="P141" s="73"/>
      <c r="Q141" s="47"/>
      <c r="R141" s="81"/>
      <c r="S141" s="82"/>
      <c r="T141" s="82"/>
      <c r="U141" s="114"/>
      <c r="W141" s="93"/>
      <c r="X141" s="117"/>
      <c r="Y141" s="25"/>
    </row>
    <row r="142" spans="2:25" ht="12.75">
      <c r="B142" s="72"/>
      <c r="C142" s="119"/>
      <c r="D142" s="73"/>
      <c r="E142" s="47"/>
      <c r="F142" s="81"/>
      <c r="G142" s="82"/>
      <c r="H142" s="82"/>
      <c r="I142" s="114"/>
      <c r="K142" s="93"/>
      <c r="L142" s="224"/>
      <c r="M142" s="93"/>
      <c r="N142" s="72"/>
      <c r="O142" s="119"/>
      <c r="P142" s="73"/>
      <c r="Q142" s="47"/>
      <c r="R142" s="81"/>
      <c r="S142" s="82"/>
      <c r="T142" s="82"/>
      <c r="U142" s="114"/>
      <c r="W142" s="93"/>
      <c r="X142" s="117"/>
      <c r="Y142" s="25"/>
    </row>
    <row r="143" spans="2:25" ht="12.75">
      <c r="B143" s="72"/>
      <c r="C143" s="119"/>
      <c r="D143" s="73"/>
      <c r="E143" s="47"/>
      <c r="F143" s="81"/>
      <c r="G143" s="82"/>
      <c r="H143" s="82"/>
      <c r="I143" s="114"/>
      <c r="K143" s="93"/>
      <c r="L143" s="224"/>
      <c r="M143" s="93"/>
      <c r="N143" s="72"/>
      <c r="O143" s="119"/>
      <c r="P143" s="73"/>
      <c r="Q143" s="47"/>
      <c r="R143" s="81"/>
      <c r="S143" s="82"/>
      <c r="T143" s="82"/>
      <c r="U143" s="114"/>
      <c r="W143" s="93"/>
      <c r="X143" s="117"/>
      <c r="Y143" s="25"/>
    </row>
    <row r="144" spans="2:25" ht="12.75">
      <c r="B144" s="72"/>
      <c r="C144" s="119"/>
      <c r="D144" s="73"/>
      <c r="E144" s="47"/>
      <c r="F144" s="81"/>
      <c r="G144" s="82"/>
      <c r="H144" s="82"/>
      <c r="I144" s="114"/>
      <c r="K144" s="93"/>
      <c r="L144" s="224"/>
      <c r="M144" s="93"/>
      <c r="N144" s="72"/>
      <c r="O144" s="119"/>
      <c r="P144" s="73"/>
      <c r="Q144" s="47"/>
      <c r="R144" s="81"/>
      <c r="S144" s="82"/>
      <c r="T144" s="82"/>
      <c r="U144" s="114"/>
      <c r="W144" s="93"/>
      <c r="X144" s="117"/>
      <c r="Y144" s="25"/>
    </row>
    <row r="145" spans="2:25" ht="12.75">
      <c r="B145" s="72"/>
      <c r="C145" s="119"/>
      <c r="D145" s="73"/>
      <c r="E145" s="47"/>
      <c r="F145" s="81"/>
      <c r="G145" s="82"/>
      <c r="H145" s="82"/>
      <c r="I145" s="114"/>
      <c r="K145" s="93"/>
      <c r="L145" s="224"/>
      <c r="M145" s="93"/>
      <c r="N145" s="72"/>
      <c r="O145" s="119"/>
      <c r="P145" s="73"/>
      <c r="Q145" s="47"/>
      <c r="R145" s="81"/>
      <c r="S145" s="82"/>
      <c r="T145" s="82"/>
      <c r="U145" s="114"/>
      <c r="W145" s="93"/>
      <c r="X145" s="117"/>
      <c r="Y145" s="25"/>
    </row>
    <row r="146" spans="2:25" ht="12.75">
      <c r="B146" s="72"/>
      <c r="C146" s="119"/>
      <c r="D146" s="73"/>
      <c r="E146" s="47"/>
      <c r="F146" s="81"/>
      <c r="G146" s="82"/>
      <c r="H146" s="82"/>
      <c r="I146" s="114"/>
      <c r="K146" s="93"/>
      <c r="L146" s="224"/>
      <c r="M146" s="93"/>
      <c r="N146" s="72"/>
      <c r="O146" s="119"/>
      <c r="P146" s="73"/>
      <c r="Q146" s="47"/>
      <c r="R146" s="81"/>
      <c r="S146" s="82"/>
      <c r="T146" s="82"/>
      <c r="U146" s="114"/>
      <c r="W146" s="93"/>
      <c r="X146" s="117"/>
      <c r="Y146" s="25"/>
    </row>
    <row r="147" spans="2:25" ht="12.75">
      <c r="B147" s="72"/>
      <c r="C147" s="119"/>
      <c r="D147" s="73"/>
      <c r="E147" s="47"/>
      <c r="F147" s="81"/>
      <c r="G147" s="82"/>
      <c r="H147" s="82"/>
      <c r="I147" s="114"/>
      <c r="K147" s="93"/>
      <c r="L147" s="224"/>
      <c r="M147" s="93"/>
      <c r="N147" s="72"/>
      <c r="O147" s="119"/>
      <c r="P147" s="73"/>
      <c r="Q147" s="47"/>
      <c r="R147" s="81"/>
      <c r="S147" s="82"/>
      <c r="T147" s="82"/>
      <c r="U147" s="114"/>
      <c r="W147" s="93"/>
      <c r="X147" s="117"/>
      <c r="Y147" s="25"/>
    </row>
    <row r="148" spans="2:25" ht="12.75">
      <c r="B148" s="77"/>
      <c r="C148" s="123"/>
      <c r="D148" s="75"/>
      <c r="E148" s="47"/>
      <c r="F148" s="136"/>
      <c r="G148" s="91"/>
      <c r="H148" s="91"/>
      <c r="I148" s="116"/>
      <c r="K148" s="94"/>
      <c r="L148" s="225"/>
      <c r="M148" s="94"/>
      <c r="N148" s="77"/>
      <c r="O148" s="123"/>
      <c r="P148" s="75"/>
      <c r="Q148" s="47"/>
      <c r="R148" s="136"/>
      <c r="S148" s="91"/>
      <c r="T148" s="91"/>
      <c r="U148" s="116"/>
      <c r="W148" s="94"/>
      <c r="X148" s="152"/>
      <c r="Y148" s="25"/>
    </row>
  </sheetData>
  <sheetProtection/>
  <mergeCells count="74">
    <mergeCell ref="N114:O114"/>
    <mergeCell ref="R114:U114"/>
    <mergeCell ref="W114:X114"/>
    <mergeCell ref="B105:L105"/>
    <mergeCell ref="B114:C114"/>
    <mergeCell ref="F114:I114"/>
    <mergeCell ref="B113:M113"/>
    <mergeCell ref="K114:M114"/>
    <mergeCell ref="N105:P105"/>
    <mergeCell ref="R105:U105"/>
    <mergeCell ref="X100:X101"/>
    <mergeCell ref="K2:M2"/>
    <mergeCell ref="B1:M1"/>
    <mergeCell ref="B39:M39"/>
    <mergeCell ref="B40:D40"/>
    <mergeCell ref="K40:M40"/>
    <mergeCell ref="F40:I40"/>
    <mergeCell ref="B2:D2"/>
    <mergeCell ref="B19:B20"/>
    <mergeCell ref="L19:L20"/>
    <mergeCell ref="N84:X84"/>
    <mergeCell ref="W105:X105"/>
    <mergeCell ref="N113:X113"/>
    <mergeCell ref="W94:W95"/>
    <mergeCell ref="X94:X95"/>
    <mergeCell ref="N99:N100"/>
    <mergeCell ref="O99:O100"/>
    <mergeCell ref="S99:S100"/>
    <mergeCell ref="T99:T100"/>
    <mergeCell ref="W100:W101"/>
    <mergeCell ref="N79:P79"/>
    <mergeCell ref="R79:U79"/>
    <mergeCell ref="W79:X79"/>
    <mergeCell ref="N82:O82"/>
    <mergeCell ref="R82:U82"/>
    <mergeCell ref="W82:X82"/>
    <mergeCell ref="N39:X39"/>
    <mergeCell ref="N40:O40"/>
    <mergeCell ref="R40:U40"/>
    <mergeCell ref="W40:X40"/>
    <mergeCell ref="N77:X77"/>
    <mergeCell ref="N78:X78"/>
    <mergeCell ref="W1:X1"/>
    <mergeCell ref="W19:W20"/>
    <mergeCell ref="X19:X20"/>
    <mergeCell ref="N19:N20"/>
    <mergeCell ref="O19:O20"/>
    <mergeCell ref="S19:S20"/>
    <mergeCell ref="T19:T20"/>
    <mergeCell ref="G19:G20"/>
    <mergeCell ref="H19:H20"/>
    <mergeCell ref="C19:C20"/>
    <mergeCell ref="K19:K20"/>
    <mergeCell ref="N1:P1"/>
    <mergeCell ref="R1:U1"/>
    <mergeCell ref="F2:I2"/>
    <mergeCell ref="B77:L77"/>
    <mergeCell ref="B82:C82"/>
    <mergeCell ref="F82:I82"/>
    <mergeCell ref="K82:L82"/>
    <mergeCell ref="B78:L78"/>
    <mergeCell ref="B79:D79"/>
    <mergeCell ref="F79:I79"/>
    <mergeCell ref="K79:L79"/>
    <mergeCell ref="M19:M20"/>
    <mergeCell ref="B84:L84"/>
    <mergeCell ref="B99:B100"/>
    <mergeCell ref="G99:G100"/>
    <mergeCell ref="H99:H100"/>
    <mergeCell ref="C99:C100"/>
    <mergeCell ref="K94:K95"/>
    <mergeCell ref="L94:L95"/>
    <mergeCell ref="K100:K101"/>
    <mergeCell ref="L100:L101"/>
  </mergeCells>
  <printOptions/>
  <pageMargins left="0.3937007874015748" right="0.3937007874015748" top="0.7874015748031497" bottom="0.7874015748031497" header="0.5118110236220472" footer="0.5118110236220472"/>
  <pageSetup orientation="landscape" paperSize="9"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15"/>
  <dimension ref="A1:E72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42.00390625" style="0" customWidth="1"/>
    <col min="2" max="2" width="15.28125" style="171" customWidth="1"/>
    <col min="3" max="3" width="14.421875" style="0" customWidth="1"/>
    <col min="4" max="4" width="15.140625" style="0" customWidth="1"/>
    <col min="5" max="5" width="13.7109375" style="171" customWidth="1"/>
    <col min="6" max="6" width="11.421875" style="38" customWidth="1"/>
  </cols>
  <sheetData>
    <row r="1" spans="2:4" ht="12.75">
      <c r="B1" s="1182" t="s">
        <v>1215</v>
      </c>
      <c r="C1" t="s">
        <v>689</v>
      </c>
      <c r="D1" t="s">
        <v>944</v>
      </c>
    </row>
    <row r="2" spans="1:2" ht="12.75">
      <c r="A2" s="163" t="str">
        <f>SIG0!B5</f>
        <v>Vente de marchandises</v>
      </c>
      <c r="B2" s="177">
        <f>SIG0!C5</f>
        <v>0</v>
      </c>
    </row>
    <row r="4" spans="1:2" ht="12.75">
      <c r="A4" s="159" t="str">
        <f>SIG0!G3</f>
        <v>Achat de marchandises vendues</v>
      </c>
      <c r="B4" s="1183">
        <f>SIG0!H3</f>
        <v>0</v>
      </c>
    </row>
    <row r="5" spans="1:2" ht="12.75">
      <c r="A5" s="1184" t="str">
        <f>SIG0!G4</f>
        <v>Variation des stock de m/ses</v>
      </c>
      <c r="B5" s="1185">
        <f>SIG0!H4</f>
        <v>0</v>
      </c>
    </row>
    <row r="6" spans="1:2" ht="12.75">
      <c r="A6" s="159" t="str">
        <f>SIG0!G5</f>
        <v>Coût d'achat des Marchandises vendues</v>
      </c>
      <c r="B6" s="174">
        <f>SUM(B4:B5)</f>
        <v>0</v>
      </c>
    </row>
    <row r="8" spans="1:2" ht="12.75">
      <c r="A8" s="163" t="s">
        <v>945</v>
      </c>
      <c r="B8" s="177">
        <f>B2</f>
        <v>0</v>
      </c>
    </row>
    <row r="9" spans="1:2" ht="12.75">
      <c r="A9" s="1184" t="s">
        <v>946</v>
      </c>
      <c r="B9" s="1185">
        <f>B6</f>
        <v>0</v>
      </c>
    </row>
    <row r="10" spans="1:2" ht="12.75">
      <c r="A10" s="160" t="s">
        <v>1182</v>
      </c>
      <c r="B10" s="172">
        <f>B8-B9</f>
        <v>0</v>
      </c>
    </row>
    <row r="12" spans="1:2" ht="12.75">
      <c r="A12" s="163" t="str">
        <f>SIG0!B7</f>
        <v>Production vendues de biens</v>
      </c>
      <c r="B12" s="177">
        <f>SIG0!C7</f>
        <v>9238580</v>
      </c>
    </row>
    <row r="13" spans="1:2" ht="12.75">
      <c r="A13" s="163" t="str">
        <f>SIG0!B8</f>
        <v>Production vendues de Services</v>
      </c>
      <c r="B13" s="177">
        <f>SIG0!C8</f>
        <v>0</v>
      </c>
    </row>
    <row r="14" spans="1:2" ht="12.75">
      <c r="A14" s="1186" t="str">
        <f>SIG0!B9</f>
        <v>Production Vendues</v>
      </c>
      <c r="B14" s="178">
        <f>SUM(B12:B13)</f>
        <v>9238580</v>
      </c>
    </row>
    <row r="16" spans="1:2" ht="12.75">
      <c r="A16" s="163" t="str">
        <f>SIG0!B5</f>
        <v>Vente de marchandises</v>
      </c>
      <c r="B16" s="177">
        <f>SIG0!C5</f>
        <v>0</v>
      </c>
    </row>
    <row r="17" spans="1:2" ht="12.75">
      <c r="A17" s="163" t="str">
        <f>SIG0!B9</f>
        <v>Production Vendues</v>
      </c>
      <c r="B17" s="177">
        <f>SIG0!C9</f>
        <v>9238580</v>
      </c>
    </row>
    <row r="18" spans="1:2" ht="12.75">
      <c r="A18" s="162" t="str">
        <f>SIG0!K9</f>
        <v>Chiffre d'affaire net hors taxe</v>
      </c>
      <c r="B18" s="172">
        <f>SUM(B16:B17)</f>
        <v>9238580</v>
      </c>
    </row>
    <row r="20" spans="1:2" ht="12.75">
      <c r="A20" s="163" t="str">
        <f>SIG0!K11</f>
        <v>Production Vendues</v>
      </c>
      <c r="B20" s="177">
        <f>SIG0!L11</f>
        <v>9238580</v>
      </c>
    </row>
    <row r="21" spans="1:2" ht="12.75">
      <c r="A21" s="163" t="str">
        <f>SIG0!K12</f>
        <v>Stocks de la productions</v>
      </c>
      <c r="B21" s="177">
        <f>SIG0!L12</f>
        <v>136685</v>
      </c>
    </row>
    <row r="22" spans="1:2" ht="12.75">
      <c r="A22" s="160" t="str">
        <f>SIG0!K13</f>
        <v>Production de l'exercices</v>
      </c>
      <c r="B22" s="172">
        <f>SUM(B20:B21)</f>
        <v>9375265</v>
      </c>
    </row>
    <row r="24" spans="1:2" ht="12.75">
      <c r="A24" s="163" t="str">
        <f>A2</f>
        <v>Vente de marchandises</v>
      </c>
      <c r="B24" s="177">
        <f>B2</f>
        <v>0</v>
      </c>
    </row>
    <row r="25" spans="1:2" ht="12.75">
      <c r="A25" s="1184" t="str">
        <f>A6</f>
        <v>Coût d'achat des Marchandises vendues</v>
      </c>
      <c r="B25" s="1185">
        <f>B6</f>
        <v>0</v>
      </c>
    </row>
    <row r="26" spans="1:2" ht="12.75">
      <c r="A26" s="160" t="s">
        <v>57</v>
      </c>
      <c r="B26" s="172">
        <f>B24-B25</f>
        <v>0</v>
      </c>
    </row>
    <row r="27" spans="1:2" ht="12.75">
      <c r="A27" s="180"/>
      <c r="B27" s="181"/>
    </row>
    <row r="28" spans="1:2" ht="12.75">
      <c r="A28" s="167" t="str">
        <f>SIG0!B17</f>
        <v>Production de l'exercices</v>
      </c>
      <c r="B28" s="173">
        <f>SIG0!C17</f>
        <v>9375265</v>
      </c>
    </row>
    <row r="29" spans="1:2" ht="12.75">
      <c r="A29" t="str">
        <f>A26</f>
        <v>Marges brute ou marge commerciales</v>
      </c>
      <c r="B29" s="171">
        <f>B26</f>
        <v>0</v>
      </c>
    </row>
    <row r="30" spans="1:2" ht="12.75">
      <c r="A30" s="182" t="s">
        <v>58</v>
      </c>
      <c r="B30" s="183">
        <f>B29+B28</f>
        <v>9375265</v>
      </c>
    </row>
    <row r="32" spans="1:2" ht="12.75">
      <c r="A32" t="str">
        <f>SIG0!G15</f>
        <v>Achat de matières premières</v>
      </c>
      <c r="B32" s="173">
        <f>SIG0!H15</f>
        <v>3753000</v>
      </c>
    </row>
    <row r="33" spans="1:2" ht="12.75">
      <c r="A33" t="str">
        <f>SIG0!G16</f>
        <v>Variation des matières premières</v>
      </c>
      <c r="B33" s="173">
        <f>SIG0!H16</f>
        <v>44640</v>
      </c>
    </row>
    <row r="34" spans="1:2" ht="12.75">
      <c r="A34" s="41" t="str">
        <f>SIG0!G17</f>
        <v>Charges externes</v>
      </c>
      <c r="B34" s="175">
        <f>SIG0!H17</f>
        <v>463270</v>
      </c>
    </row>
    <row r="35" spans="1:2" ht="12.75">
      <c r="A35" s="159" t="str">
        <f>SIG0!G19</f>
        <v>Consommation de l'exercice provenant d'un tiers (ou Charge Brut de la Valeur Ajouté)</v>
      </c>
      <c r="B35" s="174">
        <f>SIG0!H19</f>
        <v>4250910</v>
      </c>
    </row>
    <row r="37" spans="1:2" ht="12.75">
      <c r="A37" t="str">
        <f>SIG0!B17</f>
        <v>Production de l'exercices</v>
      </c>
      <c r="B37" s="173">
        <f>SIG0!C17</f>
        <v>9375265</v>
      </c>
    </row>
    <row r="38" spans="1:5" ht="12.75">
      <c r="A38" s="161" t="s">
        <v>34</v>
      </c>
      <c r="B38" s="179">
        <f>SIG0!C18</f>
        <v>0</v>
      </c>
      <c r="E38" s="176"/>
    </row>
    <row r="39" spans="1:5" ht="12.75">
      <c r="A39" s="160" t="s">
        <v>35</v>
      </c>
      <c r="B39" s="172">
        <f>SIG0!C19</f>
        <v>9375265</v>
      </c>
      <c r="E39" s="176"/>
    </row>
    <row r="41" spans="1:2" ht="12.75">
      <c r="A41" t="s">
        <v>36</v>
      </c>
      <c r="B41" s="173">
        <f>SIG0!C19</f>
        <v>9375265</v>
      </c>
    </row>
    <row r="42" spans="1:5" ht="12.75">
      <c r="A42" s="38" t="str">
        <f>SIG0!G19</f>
        <v>Consommation de l'exercice provenant d'un tiers (ou Charge Brut de la Valeur Ajouté)</v>
      </c>
      <c r="B42" s="171">
        <f>SIG0!H19</f>
        <v>4250910</v>
      </c>
      <c r="E42" s="176"/>
    </row>
    <row r="43" spans="1:2" ht="12.75">
      <c r="A43" s="162" t="str">
        <f>SIG0!K19</f>
        <v>Valeurs ajoutés</v>
      </c>
      <c r="B43" s="172">
        <f>SIG0!L19</f>
        <v>5124355</v>
      </c>
    </row>
    <row r="45" spans="1:2" ht="12.75">
      <c r="A45" t="str">
        <f>SIG0!B26</f>
        <v>Valeurs Ajoutés</v>
      </c>
      <c r="B45" s="171">
        <f>SIG0!C26</f>
        <v>5124355</v>
      </c>
    </row>
    <row r="46" spans="1:2" ht="12.75">
      <c r="A46" s="38" t="str">
        <f>SIG0!B27</f>
        <v>Subvention d'exploitation</v>
      </c>
      <c r="B46" s="171">
        <f>SIG0!C27</f>
        <v>0</v>
      </c>
    </row>
    <row r="47" spans="1:2" ht="12.75">
      <c r="A47" s="162" t="s">
        <v>38</v>
      </c>
      <c r="B47" s="172">
        <f>SUM(B45:B46)</f>
        <v>5124355</v>
      </c>
    </row>
    <row r="49" spans="1:2" ht="12.75">
      <c r="A49" t="str">
        <f>SIG0!G22</f>
        <v>Salaire et traitements</v>
      </c>
      <c r="B49" s="173">
        <f>SIG0!H22</f>
        <v>2822650</v>
      </c>
    </row>
    <row r="50" spans="1:2" ht="12.75">
      <c r="A50" s="41" t="str">
        <f>SIG0!G23</f>
        <v>Charges sociales</v>
      </c>
      <c r="B50" s="171">
        <f>SIG0!H23</f>
        <v>1203835</v>
      </c>
    </row>
    <row r="51" spans="1:2" ht="12.75">
      <c r="A51" s="159" t="str">
        <f>SIG0!G24</f>
        <v>Charges de peronnel</v>
      </c>
      <c r="B51" s="174">
        <f>SUM(B49:B50)</f>
        <v>4026485</v>
      </c>
    </row>
    <row r="53" spans="1:2" ht="12.75">
      <c r="A53" s="39" t="str">
        <f>SIG0!G26</f>
        <v>Impôts, taxes et versement assimilés</v>
      </c>
      <c r="B53" s="173">
        <f>SIG0!H26</f>
        <v>305837</v>
      </c>
    </row>
    <row r="54" spans="1:2" ht="12.75">
      <c r="A54" s="41" t="str">
        <f>SIG0!G27</f>
        <v>Charges de personnel</v>
      </c>
      <c r="B54" s="175">
        <f>SIG0!H27</f>
        <v>4026485</v>
      </c>
    </row>
    <row r="55" spans="1:2" ht="12.75">
      <c r="A55" s="159" t="s">
        <v>37</v>
      </c>
      <c r="B55" s="174">
        <f>SUM(B53:B54)</f>
        <v>4332322</v>
      </c>
    </row>
    <row r="57" spans="1:2" ht="12.75">
      <c r="A57" t="str">
        <f>A47</f>
        <v>Valeurs Ajoutés et subventions</v>
      </c>
      <c r="B57" s="173">
        <f>B47</f>
        <v>5124355</v>
      </c>
    </row>
    <row r="58" spans="1:2" ht="12.75">
      <c r="A58" t="str">
        <f>A55</f>
        <v>Rénumérations et impositions</v>
      </c>
      <c r="B58" s="171">
        <f>B55</f>
        <v>4332322</v>
      </c>
    </row>
    <row r="59" spans="1:2" ht="12.75">
      <c r="A59" s="162" t="s">
        <v>39</v>
      </c>
      <c r="B59" s="172">
        <f>B57-B58</f>
        <v>792033</v>
      </c>
    </row>
    <row r="61" spans="1:2" ht="12.75">
      <c r="A61" t="str">
        <f>SIG0!G30</f>
        <v> dotation aux amortissements / Immos</v>
      </c>
      <c r="B61" s="176">
        <f>SIG0!H30</f>
        <v>82260</v>
      </c>
    </row>
    <row r="62" spans="1:2" ht="12.75">
      <c r="A62" t="str">
        <f>SIG0!G31</f>
        <v> dotations aux provision / Immos</v>
      </c>
      <c r="B62" s="176">
        <f>SIG0!H31</f>
        <v>0</v>
      </c>
    </row>
    <row r="63" spans="1:2" ht="12.75">
      <c r="A63" t="str">
        <f>SIG0!G32</f>
        <v> dotation aux amortissements / Actif circ.</v>
      </c>
      <c r="B63" s="176">
        <f>SIG0!H32</f>
        <v>52500</v>
      </c>
    </row>
    <row r="64" spans="1:2" ht="12.75">
      <c r="A64" t="str">
        <f>SIG0!G33</f>
        <v> dotations aux provision / Actif circulants</v>
      </c>
      <c r="B64" s="176">
        <f>SIG0!H33</f>
        <v>3000</v>
      </c>
    </row>
    <row r="65" spans="1:2" ht="12.75">
      <c r="A65" s="164" t="str">
        <f>SIG0!G35</f>
        <v>Dotation aux ammortissement</v>
      </c>
      <c r="B65" s="174">
        <f>SIG0!H35</f>
        <v>145760</v>
      </c>
    </row>
    <row r="66" spans="1:2" ht="12.75">
      <c r="A66" t="str">
        <f>SIG0!G36</f>
        <v>Autres charges</v>
      </c>
      <c r="B66" s="176">
        <f>SIG0!H36</f>
        <v>44925</v>
      </c>
    </row>
    <row r="67" spans="1:2" ht="12.75">
      <c r="A67" s="164" t="s">
        <v>40</v>
      </c>
      <c r="B67" s="174">
        <f>SIG0!H37</f>
        <v>190685</v>
      </c>
    </row>
    <row r="69" spans="1:2" ht="12.75">
      <c r="A69" t="str">
        <f>SIG0!B33</f>
        <v>Excédent brut d'exploitation</v>
      </c>
      <c r="B69" s="176">
        <f>SIG0!C33</f>
        <v>792033</v>
      </c>
    </row>
    <row r="70" spans="1:2" ht="12.75">
      <c r="A70" t="str">
        <f>SIG0!B34</f>
        <v>Reprise &amp; transfert de charges</v>
      </c>
      <c r="B70" s="176">
        <f>SIG0!C34</f>
        <v>47500</v>
      </c>
    </row>
    <row r="71" spans="1:2" ht="12.75">
      <c r="A71" t="str">
        <f>SIG0!B36</f>
        <v>Autres produits</v>
      </c>
      <c r="B71" s="176">
        <f>SIG0!C36</f>
        <v>32350</v>
      </c>
    </row>
    <row r="72" spans="1:2" ht="12.75">
      <c r="A72" t="s">
        <v>41</v>
      </c>
      <c r="B72" s="176">
        <f>SIG0!C37</f>
        <v>871883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22"/>
  <dimension ref="A1:AH82"/>
  <sheetViews>
    <sheetView zoomScalePageLayoutView="0" workbookViewId="0" topLeftCell="W1">
      <selection activeCell="K4" sqref="K4"/>
    </sheetView>
  </sheetViews>
  <sheetFormatPr defaultColWidth="11.421875" defaultRowHeight="12.75"/>
  <cols>
    <col min="1" max="1" width="26.57421875" style="595" customWidth="1"/>
    <col min="2" max="2" width="10.7109375" style="557" customWidth="1"/>
    <col min="3" max="3" width="12.140625" style="557" customWidth="1"/>
    <col min="4" max="4" width="10.8515625" style="595" customWidth="1"/>
    <col min="5" max="5" width="10.57421875" style="595" customWidth="1"/>
    <col min="6" max="6" width="23.7109375" style="595" customWidth="1"/>
    <col min="7" max="7" width="11.140625" style="595" customWidth="1"/>
    <col min="8" max="8" width="11.28125" style="595" customWidth="1"/>
    <col min="9" max="9" width="9.7109375" style="595" customWidth="1"/>
    <col min="10" max="10" width="10.8515625" style="595" customWidth="1"/>
    <col min="11" max="11" width="26.57421875" style="595" customWidth="1"/>
    <col min="12" max="12" width="11.7109375" style="595" customWidth="1"/>
    <col min="13" max="13" width="11.140625" style="595" customWidth="1"/>
    <col min="14" max="14" width="11.7109375" style="595" customWidth="1"/>
    <col min="15" max="15" width="11.140625" style="595" customWidth="1"/>
    <col min="16" max="16" width="11.7109375" style="595" customWidth="1"/>
    <col min="17" max="21" width="11.140625" style="595" customWidth="1"/>
    <col min="22" max="23" width="10.8515625" style="595" customWidth="1"/>
    <col min="24" max="24" width="6.57421875" style="595" customWidth="1"/>
    <col min="25" max="25" width="38.28125" style="595" customWidth="1"/>
    <col min="26" max="26" width="13.8515625" style="595" customWidth="1"/>
    <col min="27" max="27" width="12.140625" style="595" customWidth="1"/>
    <col min="28" max="28" width="12.28125" style="595" bestFit="1" customWidth="1"/>
    <col min="29" max="29" width="12.57421875" style="595" customWidth="1"/>
    <col min="30" max="16384" width="11.421875" style="595" customWidth="1"/>
  </cols>
  <sheetData>
    <row r="1" spans="1:34" ht="13.5" customHeight="1" thickBot="1">
      <c r="A1" s="2008" t="s">
        <v>485</v>
      </c>
      <c r="B1" s="2009"/>
      <c r="C1" s="2009"/>
      <c r="D1" s="2009"/>
      <c r="E1" s="2009"/>
      <c r="F1" s="2009"/>
      <c r="G1" s="2009"/>
      <c r="H1" s="2009"/>
      <c r="I1" s="2009"/>
      <c r="J1" s="2010"/>
      <c r="K1" s="2004"/>
      <c r="L1" s="2005"/>
      <c r="M1" s="2005"/>
      <c r="N1" s="644"/>
      <c r="O1" s="644"/>
      <c r="P1" s="644"/>
      <c r="Q1" s="645"/>
      <c r="V1" s="813"/>
      <c r="W1" s="814"/>
      <c r="Y1" s="548"/>
      <c r="Z1" s="552"/>
      <c r="AA1" s="552"/>
      <c r="AB1" s="552"/>
      <c r="AC1" s="549"/>
      <c r="AF1" s="548" t="s">
        <v>687</v>
      </c>
      <c r="AG1" s="552"/>
      <c r="AH1" s="549"/>
    </row>
    <row r="2" spans="1:34" ht="12">
      <c r="A2" s="2012" t="s">
        <v>271</v>
      </c>
      <c r="B2" s="2013"/>
      <c r="C2" s="2013"/>
      <c r="D2" s="2013"/>
      <c r="E2" s="2014"/>
      <c r="F2" s="2012" t="s">
        <v>1276</v>
      </c>
      <c r="G2" s="2015"/>
      <c r="H2" s="2015"/>
      <c r="I2" s="2013"/>
      <c r="J2" s="2014"/>
      <c r="K2" s="2006"/>
      <c r="L2" s="2007"/>
      <c r="M2" s="2007"/>
      <c r="N2" s="646"/>
      <c r="O2" s="646"/>
      <c r="P2" s="646"/>
      <c r="Q2" s="647"/>
      <c r="V2" s="816"/>
      <c r="W2" s="817"/>
      <c r="Y2" s="541"/>
      <c r="Z2" s="542"/>
      <c r="AA2" s="542"/>
      <c r="AB2" s="542"/>
      <c r="AC2" s="540"/>
      <c r="AF2" s="541" t="s">
        <v>688</v>
      </c>
      <c r="AG2" s="542"/>
      <c r="AH2" s="540"/>
    </row>
    <row r="3" spans="1:34" ht="13.5" customHeight="1" thickBot="1">
      <c r="A3" s="596"/>
      <c r="B3" s="2001" t="s">
        <v>29</v>
      </c>
      <c r="C3" s="2002"/>
      <c r="D3" s="2001" t="s">
        <v>9</v>
      </c>
      <c r="E3" s="2011"/>
      <c r="F3" s="596"/>
      <c r="G3" s="2003" t="s">
        <v>29</v>
      </c>
      <c r="H3" s="2002"/>
      <c r="I3" s="2001" t="s">
        <v>9</v>
      </c>
      <c r="J3" s="2011"/>
      <c r="K3" s="648"/>
      <c r="L3" s="2001" t="s">
        <v>521</v>
      </c>
      <c r="M3" s="2003"/>
      <c r="N3" s="2001" t="s">
        <v>522</v>
      </c>
      <c r="O3" s="2002"/>
      <c r="P3" s="2001" t="s">
        <v>520</v>
      </c>
      <c r="Q3" s="2011"/>
      <c r="R3" s="597"/>
      <c r="S3" s="597"/>
      <c r="T3" s="597"/>
      <c r="U3" s="597"/>
      <c r="V3" s="648"/>
      <c r="W3" s="815"/>
      <c r="X3" s="597"/>
      <c r="Y3" s="938" t="s">
        <v>423</v>
      </c>
      <c r="Z3" s="1993" t="s">
        <v>549</v>
      </c>
      <c r="AA3" s="1987" t="s">
        <v>485</v>
      </c>
      <c r="AB3" s="1989"/>
      <c r="AC3" s="549"/>
      <c r="AF3" s="541">
        <v>1</v>
      </c>
      <c r="AG3" s="542"/>
      <c r="AH3" s="540"/>
    </row>
    <row r="4" spans="1:34" s="602" customFormat="1" ht="36">
      <c r="A4" s="598"/>
      <c r="B4" s="577" t="s">
        <v>456</v>
      </c>
      <c r="C4" s="578" t="s">
        <v>390</v>
      </c>
      <c r="D4" s="577" t="s">
        <v>456</v>
      </c>
      <c r="E4" s="600" t="s">
        <v>390</v>
      </c>
      <c r="F4" s="598"/>
      <c r="G4" s="599" t="s">
        <v>456</v>
      </c>
      <c r="H4" s="578" t="s">
        <v>390</v>
      </c>
      <c r="I4" s="577" t="s">
        <v>456</v>
      </c>
      <c r="J4" s="600" t="s">
        <v>390</v>
      </c>
      <c r="K4" s="649"/>
      <c r="L4" s="577" t="s">
        <v>456</v>
      </c>
      <c r="M4" s="599" t="s">
        <v>390</v>
      </c>
      <c r="N4" s="650" t="s">
        <v>456</v>
      </c>
      <c r="O4" s="651" t="s">
        <v>390</v>
      </c>
      <c r="P4" s="650" t="s">
        <v>456</v>
      </c>
      <c r="Q4" s="652" t="s">
        <v>390</v>
      </c>
      <c r="R4" s="601"/>
      <c r="S4" s="601"/>
      <c r="T4" s="601"/>
      <c r="U4" s="601"/>
      <c r="V4" s="649"/>
      <c r="W4" s="600">
        <v>1</v>
      </c>
      <c r="X4" s="601"/>
      <c r="Y4" s="694"/>
      <c r="Z4" s="1994"/>
      <c r="AA4" s="692" t="s">
        <v>456</v>
      </c>
      <c r="AB4" s="693" t="s">
        <v>390</v>
      </c>
      <c r="AC4" s="695"/>
      <c r="AF4" s="832"/>
      <c r="AG4" s="833"/>
      <c r="AH4" s="834"/>
    </row>
    <row r="5" spans="1:34" ht="12.75" thickBot="1">
      <c r="A5" s="1995" t="s">
        <v>465</v>
      </c>
      <c r="B5" s="1996"/>
      <c r="C5" s="1996"/>
      <c r="D5" s="1996"/>
      <c r="E5" s="1997"/>
      <c r="F5" s="1995" t="s">
        <v>486</v>
      </c>
      <c r="G5" s="1996"/>
      <c r="H5" s="1996"/>
      <c r="I5" s="1996"/>
      <c r="J5" s="1997"/>
      <c r="K5" s="2019" t="s">
        <v>492</v>
      </c>
      <c r="L5" s="2020"/>
      <c r="M5" s="2020"/>
      <c r="N5" s="653"/>
      <c r="O5" s="654"/>
      <c r="P5" s="653"/>
      <c r="Q5" s="655"/>
      <c r="R5" s="597"/>
      <c r="S5" s="597"/>
      <c r="T5" s="597"/>
      <c r="U5" s="597"/>
      <c r="V5" s="822" t="s">
        <v>29</v>
      </c>
      <c r="W5" s="823" t="s">
        <v>689</v>
      </c>
      <c r="X5" s="597"/>
      <c r="Y5" s="1990" t="s">
        <v>547</v>
      </c>
      <c r="Z5" s="1991"/>
      <c r="AA5" s="1991"/>
      <c r="AB5" s="1991"/>
      <c r="AC5" s="1992"/>
      <c r="AF5" s="541"/>
      <c r="AG5" s="542"/>
      <c r="AH5" s="540"/>
    </row>
    <row r="6" spans="1:34" ht="12.75" thickBot="1">
      <c r="A6" s="604" t="s">
        <v>298</v>
      </c>
      <c r="B6" s="556">
        <f>Imo!F59</f>
        <v>1603540</v>
      </c>
      <c r="C6" s="559">
        <f>B6</f>
        <v>1603540</v>
      </c>
      <c r="D6" s="541">
        <f>Imo!D28</f>
        <v>1464120</v>
      </c>
      <c r="E6" s="572"/>
      <c r="F6" s="604" t="s">
        <v>274</v>
      </c>
      <c r="G6" s="542">
        <f>B!J24</f>
        <v>1438064</v>
      </c>
      <c r="H6" s="540">
        <f>G6</f>
        <v>1438064</v>
      </c>
      <c r="I6" s="539">
        <f>B!K24</f>
        <v>1056563</v>
      </c>
      <c r="J6" s="572"/>
      <c r="K6" s="2016" t="s">
        <v>530</v>
      </c>
      <c r="L6" s="2017"/>
      <c r="M6" s="2017"/>
      <c r="N6" s="2017"/>
      <c r="O6" s="2017"/>
      <c r="P6" s="2017"/>
      <c r="Q6" s="2018"/>
      <c r="R6" s="542"/>
      <c r="S6" s="542"/>
      <c r="T6" s="542"/>
      <c r="U6" s="542"/>
      <c r="V6" s="824">
        <f>IF(AF6=1,G6,IF(AF6=2,H6))</f>
        <v>1438064</v>
      </c>
      <c r="W6" s="572">
        <f>IF($W$4=1,I6,J6)</f>
        <v>1056563</v>
      </c>
      <c r="X6" s="542"/>
      <c r="Y6" s="541"/>
      <c r="Z6" s="542"/>
      <c r="AA6" s="542"/>
      <c r="AB6" s="642" t="s">
        <v>1077</v>
      </c>
      <c r="AC6" s="641" t="s">
        <v>545</v>
      </c>
      <c r="AF6" s="541">
        <f>AF3</f>
        <v>1</v>
      </c>
      <c r="AG6" s="542"/>
      <c r="AH6" s="540"/>
    </row>
    <row r="7" spans="1:34" ht="12">
      <c r="A7" s="604" t="s">
        <v>266</v>
      </c>
      <c r="B7" s="556">
        <f>B!D55</f>
        <v>16200</v>
      </c>
      <c r="C7" s="559">
        <f>B7</f>
        <v>16200</v>
      </c>
      <c r="D7" s="541">
        <f>B!E55</f>
        <v>12000</v>
      </c>
      <c r="E7" s="572"/>
      <c r="F7" s="604" t="s">
        <v>466</v>
      </c>
      <c r="G7" s="542">
        <f>-B!D5</f>
        <v>-40000</v>
      </c>
      <c r="H7" s="540">
        <f>G7</f>
        <v>-40000</v>
      </c>
      <c r="I7" s="541"/>
      <c r="J7" s="572"/>
      <c r="K7" s="656" t="s">
        <v>305</v>
      </c>
      <c r="L7" s="669">
        <f>G22</f>
        <v>3223124</v>
      </c>
      <c r="M7" s="670">
        <f>H22</f>
        <v>3273124</v>
      </c>
      <c r="N7" s="669">
        <f>I22</f>
        <v>2903463</v>
      </c>
      <c r="O7" s="670"/>
      <c r="P7" s="657"/>
      <c r="Q7" s="658"/>
      <c r="R7" s="542"/>
      <c r="S7" s="542"/>
      <c r="T7" s="542"/>
      <c r="U7" s="542"/>
      <c r="V7" s="824">
        <f>IF(AF7=1,G7,IF(AF7=2,H7))</f>
        <v>-40000</v>
      </c>
      <c r="W7" s="572">
        <f>IF($W$4=1,I7,J7)</f>
        <v>0</v>
      </c>
      <c r="X7" s="542"/>
      <c r="Y7" s="603" t="s">
        <v>467</v>
      </c>
      <c r="Z7" s="689"/>
      <c r="AA7" s="689"/>
      <c r="AB7" s="542">
        <v>10000</v>
      </c>
      <c r="AC7" s="540"/>
      <c r="AF7" s="541">
        <f>AF6</f>
        <v>1</v>
      </c>
      <c r="AG7" s="542"/>
      <c r="AH7" s="540"/>
    </row>
    <row r="8" spans="1:34" ht="12">
      <c r="A8" s="604" t="s">
        <v>460</v>
      </c>
      <c r="B8" s="570"/>
      <c r="C8" s="559">
        <f>B!D83</f>
        <v>50000</v>
      </c>
      <c r="D8" s="541"/>
      <c r="E8" s="572"/>
      <c r="F8" s="634" t="s">
        <v>272</v>
      </c>
      <c r="G8" s="635">
        <f>SUM(G6:G7)</f>
        <v>1398064</v>
      </c>
      <c r="H8" s="636">
        <f>SUM(H6:H7)</f>
        <v>1398064</v>
      </c>
      <c r="I8" s="628">
        <f>SUM(I6:I7)</f>
        <v>1056563</v>
      </c>
      <c r="J8" s="630">
        <f>SUM(J6:J7)</f>
        <v>0</v>
      </c>
      <c r="K8" s="659" t="s">
        <v>524</v>
      </c>
      <c r="L8" s="671">
        <f>-B22</f>
        <v>-1619740</v>
      </c>
      <c r="M8" s="672">
        <f>-C22</f>
        <v>-1669740</v>
      </c>
      <c r="N8" s="671">
        <f>-D22</f>
        <v>-1476120</v>
      </c>
      <c r="O8" s="672"/>
      <c r="P8" s="657"/>
      <c r="Q8" s="658"/>
      <c r="R8" s="542"/>
      <c r="S8" s="542"/>
      <c r="T8" s="542"/>
      <c r="U8" s="542"/>
      <c r="V8" s="825">
        <f>SUM(V6:V7)</f>
        <v>1398064</v>
      </c>
      <c r="W8" s="630">
        <f>SUM(W6:W7)</f>
        <v>1056563</v>
      </c>
      <c r="X8" s="542"/>
      <c r="Y8" s="603" t="s">
        <v>468</v>
      </c>
      <c r="Z8" s="689"/>
      <c r="AA8" s="689"/>
      <c r="AB8" s="542">
        <v>50000</v>
      </c>
      <c r="AC8" s="540"/>
      <c r="AF8" s="541">
        <f aca="true" t="shared" si="0" ref="AF8:AF43">AF7</f>
        <v>1</v>
      </c>
      <c r="AG8" s="542"/>
      <c r="AH8" s="540"/>
    </row>
    <row r="9" spans="1:34" ht="12">
      <c r="A9" s="604"/>
      <c r="B9" s="556"/>
      <c r="C9" s="559"/>
      <c r="D9" s="541"/>
      <c r="E9" s="572"/>
      <c r="F9" s="606" t="s">
        <v>300</v>
      </c>
      <c r="G9" s="568"/>
      <c r="H9" s="566">
        <f>AB11</f>
        <v>8000</v>
      </c>
      <c r="I9" s="548"/>
      <c r="J9" s="574"/>
      <c r="K9" s="660" t="s">
        <v>459</v>
      </c>
      <c r="L9" s="673">
        <f>SUM(L7:L8)</f>
        <v>1603384</v>
      </c>
      <c r="M9" s="674">
        <f>SUM(M7:M8)</f>
        <v>1603384</v>
      </c>
      <c r="N9" s="673">
        <f>N7+N8</f>
        <v>1427343</v>
      </c>
      <c r="O9" s="674"/>
      <c r="P9" s="657">
        <f>L9-N9</f>
        <v>176041</v>
      </c>
      <c r="Q9" s="658"/>
      <c r="R9" s="542"/>
      <c r="S9" s="542"/>
      <c r="T9" s="542"/>
      <c r="U9" s="542"/>
      <c r="V9" s="826">
        <f aca="true" t="shared" si="1" ref="V9:V14">IF(AF9=1,G9,IF(AF9=2,H9))</f>
        <v>0</v>
      </c>
      <c r="W9" s="574">
        <f aca="true" t="shared" si="2" ref="W9:W14">IF($W$4=1,I9,J9)</f>
        <v>0</v>
      </c>
      <c r="X9" s="542"/>
      <c r="Y9" s="603" t="s">
        <v>469</v>
      </c>
      <c r="Z9" s="689"/>
      <c r="AA9" s="689"/>
      <c r="AB9" s="542">
        <v>10000</v>
      </c>
      <c r="AC9" s="540"/>
      <c r="AF9" s="541">
        <f t="shared" si="0"/>
        <v>1</v>
      </c>
      <c r="AG9" s="542"/>
      <c r="AH9" s="540"/>
    </row>
    <row r="10" spans="1:34" ht="12">
      <c r="A10" s="604"/>
      <c r="B10" s="556"/>
      <c r="C10" s="559"/>
      <c r="D10" s="541"/>
      <c r="E10" s="572"/>
      <c r="F10" s="604" t="s">
        <v>471</v>
      </c>
      <c r="G10" s="569">
        <f>B!C31</f>
        <v>478510</v>
      </c>
      <c r="H10" s="567">
        <f>G10</f>
        <v>478510</v>
      </c>
      <c r="I10" s="541"/>
      <c r="J10" s="572"/>
      <c r="K10" s="656"/>
      <c r="L10" s="673"/>
      <c r="M10" s="675"/>
      <c r="N10" s="673"/>
      <c r="O10" s="675"/>
      <c r="P10" s="657"/>
      <c r="Q10" s="658"/>
      <c r="R10" s="542"/>
      <c r="S10" s="542"/>
      <c r="T10" s="542"/>
      <c r="U10" s="542"/>
      <c r="V10" s="824">
        <f t="shared" si="1"/>
        <v>478510</v>
      </c>
      <c r="W10" s="572">
        <f t="shared" si="2"/>
        <v>0</v>
      </c>
      <c r="X10" s="542"/>
      <c r="Y10" s="603" t="s">
        <v>470</v>
      </c>
      <c r="Z10" s="689"/>
      <c r="AA10" s="689"/>
      <c r="AB10" s="542">
        <v>5</v>
      </c>
      <c r="AC10" s="540"/>
      <c r="AF10" s="541">
        <f t="shared" si="0"/>
        <v>1</v>
      </c>
      <c r="AG10" s="542"/>
      <c r="AH10" s="540"/>
    </row>
    <row r="11" spans="1:34" ht="12">
      <c r="A11" s="604"/>
      <c r="B11" s="556"/>
      <c r="C11" s="559"/>
      <c r="D11" s="541"/>
      <c r="E11" s="572"/>
      <c r="F11" s="604" t="s">
        <v>472</v>
      </c>
      <c r="G11" s="569">
        <f>B!C54</f>
        <v>125000</v>
      </c>
      <c r="H11" s="567">
        <f>G11</f>
        <v>125000</v>
      </c>
      <c r="I11" s="541"/>
      <c r="J11" s="572"/>
      <c r="K11" s="656" t="s">
        <v>523</v>
      </c>
      <c r="L11" s="673">
        <f>B41</f>
        <v>4275588</v>
      </c>
      <c r="M11" s="675">
        <f>C41</f>
        <v>4288388</v>
      </c>
      <c r="N11" s="673">
        <f>D41</f>
        <v>3693076</v>
      </c>
      <c r="O11" s="675"/>
      <c r="P11" s="657"/>
      <c r="Q11" s="658"/>
      <c r="R11" s="542"/>
      <c r="S11" s="542"/>
      <c r="T11" s="542"/>
      <c r="U11" s="542"/>
      <c r="V11" s="824">
        <f t="shared" si="1"/>
        <v>125000</v>
      </c>
      <c r="W11" s="572">
        <f t="shared" si="2"/>
        <v>0</v>
      </c>
      <c r="X11" s="542"/>
      <c r="Y11" s="541" t="s">
        <v>541</v>
      </c>
      <c r="Z11" s="542"/>
      <c r="AA11" s="542"/>
      <c r="AB11" s="542">
        <f>(AB8-AB9)/AB10</f>
        <v>8000</v>
      </c>
      <c r="AC11" s="540"/>
      <c r="AF11" s="541">
        <f t="shared" si="0"/>
        <v>1</v>
      </c>
      <c r="AG11" s="542"/>
      <c r="AH11" s="540"/>
    </row>
    <row r="12" spans="1:34" ht="12">
      <c r="A12" s="607"/>
      <c r="B12" s="556"/>
      <c r="C12" s="559"/>
      <c r="D12" s="541"/>
      <c r="E12" s="572"/>
      <c r="F12" s="604" t="s">
        <v>473</v>
      </c>
      <c r="G12" s="569"/>
      <c r="H12" s="567">
        <f>G12</f>
        <v>0</v>
      </c>
      <c r="I12" s="541">
        <f>Amort!E20</f>
        <v>433400</v>
      </c>
      <c r="J12" s="572"/>
      <c r="K12" s="659" t="s">
        <v>525</v>
      </c>
      <c r="L12" s="671">
        <f>-G41</f>
        <v>-2672204</v>
      </c>
      <c r="M12" s="672">
        <f>-H41</f>
        <v>-2685004</v>
      </c>
      <c r="N12" s="671">
        <f>-I41</f>
        <v>-2265733</v>
      </c>
      <c r="O12" s="672"/>
      <c r="P12" s="657"/>
      <c r="Q12" s="658"/>
      <c r="R12" s="542"/>
      <c r="S12" s="542"/>
      <c r="T12" s="542"/>
      <c r="U12" s="542"/>
      <c r="V12" s="824">
        <f t="shared" si="1"/>
        <v>0</v>
      </c>
      <c r="W12" s="572">
        <f t="shared" si="2"/>
        <v>433400</v>
      </c>
      <c r="X12" s="542"/>
      <c r="Y12" s="541" t="s">
        <v>408</v>
      </c>
      <c r="Z12" s="542"/>
      <c r="AA12" s="542"/>
      <c r="AB12" s="542">
        <f>AB9-AB11</f>
        <v>2000</v>
      </c>
      <c r="AC12" s="540"/>
      <c r="AF12" s="541">
        <f t="shared" si="0"/>
        <v>1</v>
      </c>
      <c r="AG12" s="542"/>
      <c r="AH12" s="540"/>
    </row>
    <row r="13" spans="1:34" ht="12.75" thickBot="1">
      <c r="A13" s="604"/>
      <c r="B13" s="556"/>
      <c r="C13" s="559"/>
      <c r="D13" s="541"/>
      <c r="E13" s="572"/>
      <c r="F13" s="604" t="s">
        <v>476</v>
      </c>
      <c r="G13" s="569"/>
      <c r="H13" s="567">
        <f>G13</f>
        <v>0</v>
      </c>
      <c r="I13" s="541">
        <f>Prov!C33</f>
        <v>112000</v>
      </c>
      <c r="J13" s="572"/>
      <c r="K13" s="660" t="s">
        <v>526</v>
      </c>
      <c r="L13" s="676">
        <f>L11+L12</f>
        <v>1603384</v>
      </c>
      <c r="M13" s="677">
        <f>SUM(M11:M12)</f>
        <v>1603384</v>
      </c>
      <c r="N13" s="676">
        <f>SUM(N11:N12)</f>
        <v>1427343</v>
      </c>
      <c r="O13" s="677"/>
      <c r="P13" s="657">
        <f>L13-N13</f>
        <v>176041</v>
      </c>
      <c r="Q13" s="658"/>
      <c r="R13" s="542"/>
      <c r="S13" s="542"/>
      <c r="T13" s="542"/>
      <c r="U13" s="542"/>
      <c r="V13" s="824">
        <f t="shared" si="1"/>
        <v>0</v>
      </c>
      <c r="W13" s="572">
        <f t="shared" si="2"/>
        <v>112000</v>
      </c>
      <c r="X13" s="542"/>
      <c r="Y13" s="541" t="s">
        <v>300</v>
      </c>
      <c r="Z13" s="542"/>
      <c r="AA13" s="542"/>
      <c r="AB13" s="542">
        <f>AB8-AB9+AB12</f>
        <v>42000</v>
      </c>
      <c r="AC13" s="540"/>
      <c r="AF13" s="541">
        <f t="shared" si="0"/>
        <v>1</v>
      </c>
      <c r="AG13" s="542"/>
      <c r="AH13" s="540"/>
    </row>
    <row r="14" spans="1:34" ht="12.75" thickBot="1">
      <c r="A14" s="604"/>
      <c r="B14" s="556"/>
      <c r="C14" s="559"/>
      <c r="D14" s="541"/>
      <c r="E14" s="572"/>
      <c r="F14" s="604" t="s">
        <v>475</v>
      </c>
      <c r="G14" s="553">
        <f>B!J26</f>
        <v>3000</v>
      </c>
      <c r="H14" s="554">
        <f>G14</f>
        <v>3000</v>
      </c>
      <c r="I14" s="541">
        <f>B!K26</f>
        <v>6600</v>
      </c>
      <c r="J14" s="572"/>
      <c r="K14" s="2016" t="s">
        <v>529</v>
      </c>
      <c r="L14" s="2017"/>
      <c r="M14" s="2017"/>
      <c r="N14" s="2017"/>
      <c r="O14" s="2017"/>
      <c r="P14" s="2017"/>
      <c r="Q14" s="2018"/>
      <c r="R14" s="542"/>
      <c r="S14" s="542"/>
      <c r="T14" s="542"/>
      <c r="U14" s="542"/>
      <c r="V14" s="824">
        <f t="shared" si="1"/>
        <v>3000</v>
      </c>
      <c r="W14" s="572">
        <f t="shared" si="2"/>
        <v>6600</v>
      </c>
      <c r="X14" s="542"/>
      <c r="Y14" s="541"/>
      <c r="Z14" s="542"/>
      <c r="AA14" s="542"/>
      <c r="AB14" s="542"/>
      <c r="AC14" s="540"/>
      <c r="AF14" s="541">
        <f t="shared" si="0"/>
        <v>1</v>
      </c>
      <c r="AG14" s="542"/>
      <c r="AH14" s="540"/>
    </row>
    <row r="15" spans="1:34" ht="12">
      <c r="A15" s="604"/>
      <c r="B15" s="556"/>
      <c r="C15" s="559"/>
      <c r="D15" s="541"/>
      <c r="E15" s="572"/>
      <c r="F15" s="637" t="s">
        <v>474</v>
      </c>
      <c r="G15" s="629">
        <f>SUM(G9:G14)</f>
        <v>606510</v>
      </c>
      <c r="H15" s="631">
        <f>SUM(H9:H14)</f>
        <v>614510</v>
      </c>
      <c r="I15" s="628">
        <f>SUM(I12:I14)</f>
        <v>552000</v>
      </c>
      <c r="J15" s="630">
        <f>SUM(J12:J14)</f>
        <v>0</v>
      </c>
      <c r="K15" s="656" t="s">
        <v>538</v>
      </c>
      <c r="L15" s="673">
        <f>B31</f>
        <v>3997788</v>
      </c>
      <c r="M15" s="675">
        <f>C31</f>
        <v>4010588</v>
      </c>
      <c r="N15" s="673">
        <f>D31</f>
        <v>3506156</v>
      </c>
      <c r="O15" s="675"/>
      <c r="P15" s="657"/>
      <c r="Q15" s="658"/>
      <c r="R15" s="542"/>
      <c r="S15" s="542"/>
      <c r="T15" s="542"/>
      <c r="U15" s="542"/>
      <c r="V15" s="825">
        <f>SUM(V12:V14)</f>
        <v>3000</v>
      </c>
      <c r="W15" s="630">
        <f>SUM(W12:W14)</f>
        <v>552000</v>
      </c>
      <c r="X15" s="542"/>
      <c r="Y15" s="1990" t="s">
        <v>548</v>
      </c>
      <c r="Z15" s="1991"/>
      <c r="AA15" s="1991"/>
      <c r="AB15" s="1991"/>
      <c r="AC15" s="1992"/>
      <c r="AF15" s="541">
        <f t="shared" si="0"/>
        <v>1</v>
      </c>
      <c r="AG15" s="542"/>
      <c r="AH15" s="540"/>
    </row>
    <row r="16" spans="1:34" ht="12">
      <c r="A16" s="604"/>
      <c r="B16" s="556"/>
      <c r="C16" s="559"/>
      <c r="D16" s="541"/>
      <c r="E16" s="572"/>
      <c r="F16" s="661" t="s">
        <v>477</v>
      </c>
      <c r="G16" s="552">
        <f>B!J37</f>
        <v>1325742</v>
      </c>
      <c r="H16" s="549">
        <f>G16</f>
        <v>1325742</v>
      </c>
      <c r="I16" s="542">
        <f>B!K37</f>
        <v>1405918</v>
      </c>
      <c r="J16" s="572"/>
      <c r="K16" s="656" t="s">
        <v>531</v>
      </c>
      <c r="L16" s="671">
        <f>B35</f>
        <v>14000</v>
      </c>
      <c r="M16" s="672">
        <f>C35</f>
        <v>14000</v>
      </c>
      <c r="N16" s="671">
        <f>D35</f>
        <v>40800</v>
      </c>
      <c r="O16" s="672"/>
      <c r="P16" s="657"/>
      <c r="Q16" s="658"/>
      <c r="R16" s="542"/>
      <c r="S16" s="542"/>
      <c r="T16" s="542"/>
      <c r="U16" s="542"/>
      <c r="V16" s="824">
        <f>IF(AF16=1,G16,IF(AF16=2,H16))</f>
        <v>1325742</v>
      </c>
      <c r="W16" s="572">
        <f>IF($W$4=1,I16,J16)</f>
        <v>1405918</v>
      </c>
      <c r="X16" s="542"/>
      <c r="Y16" s="541" t="s">
        <v>305</v>
      </c>
      <c r="Z16" s="542"/>
      <c r="AA16" s="542">
        <f>G16</f>
        <v>1325742</v>
      </c>
      <c r="AB16" s="542">
        <f>H22</f>
        <v>3273124</v>
      </c>
      <c r="AC16" s="540">
        <f>I22</f>
        <v>2903463</v>
      </c>
      <c r="AF16" s="541">
        <f t="shared" si="0"/>
        <v>1</v>
      </c>
      <c r="AG16" s="542"/>
      <c r="AH16" s="540"/>
    </row>
    <row r="17" spans="1:34" ht="12">
      <c r="A17" s="604"/>
      <c r="B17" s="556"/>
      <c r="C17" s="559"/>
      <c r="D17" s="541"/>
      <c r="E17" s="572"/>
      <c r="F17" s="661" t="s">
        <v>478</v>
      </c>
      <c r="G17" s="542">
        <f>-B!J73</f>
        <v>-86892</v>
      </c>
      <c r="H17" s="540">
        <f>G17</f>
        <v>-86892</v>
      </c>
      <c r="I17" s="542">
        <f>-B!K73</f>
        <v>-92918</v>
      </c>
      <c r="J17" s="572"/>
      <c r="K17" s="660" t="s">
        <v>523</v>
      </c>
      <c r="L17" s="678">
        <f>SUM(L15:L16)</f>
        <v>4011788</v>
      </c>
      <c r="M17" s="674">
        <f>SUM(M15:M16)</f>
        <v>4024588</v>
      </c>
      <c r="N17" s="678">
        <f>SUM(N15:N16)</f>
        <v>3546956</v>
      </c>
      <c r="O17" s="674"/>
      <c r="P17" s="657">
        <f>L17-N17</f>
        <v>464832</v>
      </c>
      <c r="Q17" s="658"/>
      <c r="R17" s="542"/>
      <c r="S17" s="542"/>
      <c r="T17" s="542"/>
      <c r="U17" s="542"/>
      <c r="V17" s="824">
        <f>IF(AF17=1,G17,IF(AF17=2,H17))</f>
        <v>-86892</v>
      </c>
      <c r="W17" s="572">
        <f>IF($W$4=1,I17,J17)</f>
        <v>-92918</v>
      </c>
      <c r="X17" s="542"/>
      <c r="Y17" s="541" t="s">
        <v>544</v>
      </c>
      <c r="Z17" s="542"/>
      <c r="AA17" s="542">
        <f>G17</f>
        <v>-86892</v>
      </c>
      <c r="AB17" s="542">
        <f>C22</f>
        <v>1669740</v>
      </c>
      <c r="AC17" s="540">
        <f>D22</f>
        <v>1476120</v>
      </c>
      <c r="AF17" s="541">
        <f t="shared" si="0"/>
        <v>1</v>
      </c>
      <c r="AG17" s="542"/>
      <c r="AH17" s="540"/>
    </row>
    <row r="18" spans="1:34" ht="12">
      <c r="A18" s="604"/>
      <c r="B18" s="556"/>
      <c r="C18" s="559"/>
      <c r="D18" s="541"/>
      <c r="E18" s="572"/>
      <c r="F18" s="661" t="s">
        <v>289</v>
      </c>
      <c r="G18" s="542">
        <f>-B!J69</f>
        <v>-14500</v>
      </c>
      <c r="H18" s="540">
        <f>G18</f>
        <v>-14500</v>
      </c>
      <c r="I18" s="542">
        <f>-B!K69</f>
        <v>-11500</v>
      </c>
      <c r="J18" s="572"/>
      <c r="K18" s="656"/>
      <c r="L18" s="673"/>
      <c r="M18" s="675"/>
      <c r="N18" s="673"/>
      <c r="O18" s="675"/>
      <c r="P18" s="657"/>
      <c r="Q18" s="658"/>
      <c r="R18" s="542"/>
      <c r="S18" s="542"/>
      <c r="T18" s="542"/>
      <c r="U18" s="542"/>
      <c r="V18" s="824">
        <f>IF(AF18=1,G18,IF(AF18=2,H18))</f>
        <v>-14500</v>
      </c>
      <c r="W18" s="572">
        <f>IF($W$4=1,I18,J18)</f>
        <v>-11500</v>
      </c>
      <c r="X18" s="542"/>
      <c r="Y18" s="541" t="s">
        <v>546</v>
      </c>
      <c r="Z18" s="542"/>
      <c r="AA18" s="542"/>
      <c r="AB18" s="542">
        <f>AB16/AB17</f>
        <v>1.9602596811479631</v>
      </c>
      <c r="AC18" s="540">
        <f>AC16/AC17</f>
        <v>1.966955938541582</v>
      </c>
      <c r="AF18" s="541">
        <f t="shared" si="0"/>
        <v>1</v>
      </c>
      <c r="AG18" s="542"/>
      <c r="AH18" s="540"/>
    </row>
    <row r="19" spans="1:34" ht="12">
      <c r="A19" s="604"/>
      <c r="B19" s="556"/>
      <c r="C19" s="559"/>
      <c r="D19" s="541"/>
      <c r="E19" s="572"/>
      <c r="F19" s="661" t="s">
        <v>479</v>
      </c>
      <c r="G19" s="542">
        <f>-Amort!H55</f>
        <v>-5800</v>
      </c>
      <c r="H19" s="540">
        <f>G19</f>
        <v>-5800</v>
      </c>
      <c r="I19" s="542">
        <f>-Amort!E55</f>
        <v>-6600</v>
      </c>
      <c r="J19" s="572"/>
      <c r="K19" s="656"/>
      <c r="L19" s="679"/>
      <c r="M19" s="680"/>
      <c r="N19" s="679"/>
      <c r="O19" s="680"/>
      <c r="P19" s="662"/>
      <c r="Q19" s="663"/>
      <c r="R19" s="542"/>
      <c r="S19" s="542"/>
      <c r="T19" s="542"/>
      <c r="U19" s="542"/>
      <c r="V19" s="824">
        <f>IF(AF19=1,G19,IF(AF19=2,H19))</f>
        <v>-5800</v>
      </c>
      <c r="W19" s="572">
        <f>IF($W$4=1,I19,J19)</f>
        <v>-6600</v>
      </c>
      <c r="X19" s="542"/>
      <c r="Y19" s="541"/>
      <c r="Z19" s="542"/>
      <c r="AA19" s="542"/>
      <c r="AB19" s="542"/>
      <c r="AC19" s="540"/>
      <c r="AF19" s="541">
        <f t="shared" si="0"/>
        <v>1</v>
      </c>
      <c r="AG19" s="542"/>
      <c r="AH19" s="540"/>
    </row>
    <row r="20" spans="1:34" ht="12">
      <c r="A20" s="604"/>
      <c r="B20" s="556"/>
      <c r="C20" s="559"/>
      <c r="D20" s="541"/>
      <c r="E20" s="572"/>
      <c r="F20" s="604" t="s">
        <v>300</v>
      </c>
      <c r="G20" s="551"/>
      <c r="H20" s="550">
        <f>AB13</f>
        <v>42000</v>
      </c>
      <c r="I20" s="542"/>
      <c r="J20" s="572"/>
      <c r="K20" s="656" t="s">
        <v>539</v>
      </c>
      <c r="L20" s="673">
        <f>G31</f>
        <v>2489045</v>
      </c>
      <c r="M20" s="675">
        <f>H31</f>
        <v>2489045</v>
      </c>
      <c r="N20" s="673">
        <f>I31</f>
        <v>2118443</v>
      </c>
      <c r="O20" s="675"/>
      <c r="P20" s="657"/>
      <c r="Q20" s="658"/>
      <c r="R20" s="542"/>
      <c r="S20" s="542"/>
      <c r="T20" s="542"/>
      <c r="U20" s="542"/>
      <c r="V20" s="824">
        <f>IF(AF20=1,G20,IF(AF20=2,H20))</f>
        <v>0</v>
      </c>
      <c r="W20" s="572">
        <f>IF($W$4=1,I20,J20)</f>
        <v>0</v>
      </c>
      <c r="X20" s="542"/>
      <c r="Y20" s="541"/>
      <c r="Z20" s="542"/>
      <c r="AA20" s="542"/>
      <c r="AB20" s="542"/>
      <c r="AC20" s="540"/>
      <c r="AF20" s="541">
        <f t="shared" si="0"/>
        <v>1</v>
      </c>
      <c r="AG20" s="542"/>
      <c r="AH20" s="540"/>
    </row>
    <row r="21" spans="1:34" ht="12">
      <c r="A21" s="604"/>
      <c r="B21" s="541"/>
      <c r="C21" s="540"/>
      <c r="D21" s="541"/>
      <c r="E21" s="572"/>
      <c r="F21" s="664" t="s">
        <v>273</v>
      </c>
      <c r="G21" s="638">
        <f>SUM(G16:G20)</f>
        <v>1218550</v>
      </c>
      <c r="H21" s="639">
        <f>SUM(H16:H20)</f>
        <v>1260550</v>
      </c>
      <c r="I21" s="628">
        <f>SUM(I16:I19)</f>
        <v>1294900</v>
      </c>
      <c r="J21" s="630">
        <f>SUM(J16:J20)</f>
        <v>0</v>
      </c>
      <c r="K21" s="656" t="s">
        <v>540</v>
      </c>
      <c r="L21" s="673">
        <f>G35</f>
        <v>168659</v>
      </c>
      <c r="M21" s="675">
        <f>H35</f>
        <v>168659</v>
      </c>
      <c r="N21" s="673">
        <f>I35</f>
        <v>135790</v>
      </c>
      <c r="O21" s="675"/>
      <c r="P21" s="657"/>
      <c r="Q21" s="658"/>
      <c r="R21" s="542"/>
      <c r="S21" s="542"/>
      <c r="T21" s="542"/>
      <c r="U21" s="542"/>
      <c r="V21" s="825">
        <f>SUM(V16:V20)</f>
        <v>1218550</v>
      </c>
      <c r="W21" s="630">
        <f>SUM(W16:W20)</f>
        <v>1294900</v>
      </c>
      <c r="X21" s="542"/>
      <c r="Y21" s="541" t="s">
        <v>299</v>
      </c>
      <c r="Z21" s="542"/>
      <c r="AA21" s="542"/>
      <c r="AB21" s="542">
        <f>G39</f>
        <v>14500</v>
      </c>
      <c r="AC21" s="540">
        <f>I39</f>
        <v>11500</v>
      </c>
      <c r="AF21" s="541">
        <f t="shared" si="0"/>
        <v>1</v>
      </c>
      <c r="AG21" s="542"/>
      <c r="AH21" s="540"/>
    </row>
    <row r="22" spans="1:34" ht="12">
      <c r="A22" s="608" t="s">
        <v>389</v>
      </c>
      <c r="B22" s="561">
        <f>SUM(B6:B21)</f>
        <v>1619740</v>
      </c>
      <c r="C22" s="562">
        <f>SUM(C6:C21)</f>
        <v>1669740</v>
      </c>
      <c r="D22" s="561">
        <f>SUM(D6:D8)</f>
        <v>1476120</v>
      </c>
      <c r="E22" s="576">
        <f>SUM(E6:E8)</f>
        <v>0</v>
      </c>
      <c r="F22" s="609" t="s">
        <v>305</v>
      </c>
      <c r="G22" s="565">
        <f>G21+G15+G8</f>
        <v>3223124</v>
      </c>
      <c r="H22" s="564">
        <f>H21+H15+H8</f>
        <v>3273124</v>
      </c>
      <c r="I22" s="563">
        <f>I21+I15+I8</f>
        <v>2903463</v>
      </c>
      <c r="J22" s="575">
        <f>J21+J15+J8</f>
        <v>0</v>
      </c>
      <c r="K22" s="605"/>
      <c r="L22" s="681"/>
      <c r="M22" s="682"/>
      <c r="N22" s="681"/>
      <c r="O22" s="682"/>
      <c r="P22" s="657"/>
      <c r="Q22" s="658"/>
      <c r="R22" s="542"/>
      <c r="S22" s="542"/>
      <c r="T22" s="542"/>
      <c r="U22" s="542"/>
      <c r="V22" s="827">
        <f>V21+V15+V8</f>
        <v>2619614</v>
      </c>
      <c r="W22" s="575">
        <f>W21+W15+W8</f>
        <v>2903463</v>
      </c>
      <c r="X22" s="542"/>
      <c r="Y22" s="541"/>
      <c r="Z22" s="542"/>
      <c r="AA22" s="542"/>
      <c r="AB22" s="542"/>
      <c r="AC22" s="540"/>
      <c r="AF22" s="541">
        <f t="shared" si="0"/>
        <v>1</v>
      </c>
      <c r="AG22" s="542"/>
      <c r="AH22" s="540"/>
    </row>
    <row r="23" spans="1:34" ht="12">
      <c r="A23" s="1995" t="s">
        <v>464</v>
      </c>
      <c r="B23" s="1996"/>
      <c r="C23" s="1996"/>
      <c r="D23" s="1996"/>
      <c r="E23" s="1997"/>
      <c r="F23" s="1998" t="s">
        <v>482</v>
      </c>
      <c r="G23" s="1999"/>
      <c r="H23" s="1999"/>
      <c r="I23" s="1999"/>
      <c r="J23" s="2000"/>
      <c r="K23" s="643" t="s">
        <v>527</v>
      </c>
      <c r="L23" s="683">
        <f>-SUM(L20:L21)</f>
        <v>-2657704</v>
      </c>
      <c r="M23" s="684">
        <f>-SUM(M20:M22)</f>
        <v>-2657704</v>
      </c>
      <c r="N23" s="683">
        <f>-SUM(N20:N21)</f>
        <v>-2254233</v>
      </c>
      <c r="O23" s="684"/>
      <c r="P23" s="657">
        <f>L23-N23</f>
        <v>-403471</v>
      </c>
      <c r="Q23" s="658"/>
      <c r="R23" s="542"/>
      <c r="S23" s="542"/>
      <c r="T23" s="542"/>
      <c r="U23" s="542"/>
      <c r="V23" s="828"/>
      <c r="W23" s="829"/>
      <c r="X23" s="542"/>
      <c r="Y23" s="541" t="s">
        <v>581</v>
      </c>
      <c r="Z23" s="542"/>
      <c r="AA23" s="542"/>
      <c r="AB23" s="542"/>
      <c r="AC23" s="540"/>
      <c r="AF23" s="541">
        <f t="shared" si="0"/>
        <v>1</v>
      </c>
      <c r="AG23" s="542"/>
      <c r="AH23" s="540"/>
    </row>
    <row r="24" spans="1:34" ht="12">
      <c r="A24" s="610" t="s">
        <v>463</v>
      </c>
      <c r="B24" s="555">
        <f>B!B40</f>
        <v>1703880</v>
      </c>
      <c r="C24" s="558">
        <f>B24</f>
        <v>1703880</v>
      </c>
      <c r="D24" s="548">
        <f>B!E40</f>
        <v>1626135</v>
      </c>
      <c r="E24" s="574"/>
      <c r="F24" s="605"/>
      <c r="G24" s="541"/>
      <c r="H24" s="540"/>
      <c r="I24" s="542"/>
      <c r="J24" s="572"/>
      <c r="K24" s="605"/>
      <c r="L24" s="681"/>
      <c r="M24" s="682"/>
      <c r="N24" s="681"/>
      <c r="O24" s="682"/>
      <c r="P24" s="657"/>
      <c r="Q24" s="658"/>
      <c r="R24" s="542"/>
      <c r="S24" s="542"/>
      <c r="T24" s="542"/>
      <c r="U24" s="542"/>
      <c r="V24" s="824">
        <f aca="true" t="shared" si="3" ref="V24:V30">IF(AF24=1,G24,IF(AF24=2,H24))</f>
        <v>0</v>
      </c>
      <c r="W24" s="572">
        <f aca="true" t="shared" si="4" ref="W24:W30">IF($W$4=1,I24,J24)</f>
        <v>0</v>
      </c>
      <c r="X24" s="542"/>
      <c r="Y24" s="541" t="s">
        <v>273</v>
      </c>
      <c r="Z24" s="542"/>
      <c r="AA24" s="542">
        <f>G21</f>
        <v>1218550</v>
      </c>
      <c r="AB24" s="542">
        <f>H21</f>
        <v>1260550</v>
      </c>
      <c r="AC24" s="540">
        <f>I21</f>
        <v>1294900</v>
      </c>
      <c r="AF24" s="541">
        <f t="shared" si="0"/>
        <v>1</v>
      </c>
      <c r="AG24" s="542"/>
      <c r="AH24" s="540"/>
    </row>
    <row r="25" spans="1:34" ht="12.75" thickBot="1">
      <c r="A25" s="605"/>
      <c r="B25" s="556"/>
      <c r="C25" s="559"/>
      <c r="D25" s="541"/>
      <c r="E25" s="572"/>
      <c r="F25" s="605"/>
      <c r="G25" s="541"/>
      <c r="H25" s="540"/>
      <c r="I25" s="542"/>
      <c r="J25" s="572"/>
      <c r="K25" s="660" t="s">
        <v>528</v>
      </c>
      <c r="L25" s="676">
        <f>L17+L23</f>
        <v>1354084</v>
      </c>
      <c r="M25" s="677">
        <f>M17+M23</f>
        <v>1366884</v>
      </c>
      <c r="N25" s="676">
        <f>N17+N23</f>
        <v>1292723</v>
      </c>
      <c r="O25" s="677"/>
      <c r="P25" s="657">
        <f>L25-N25</f>
        <v>61361</v>
      </c>
      <c r="Q25" s="658"/>
      <c r="R25" s="542"/>
      <c r="S25" s="542"/>
      <c r="T25" s="542"/>
      <c r="U25" s="542"/>
      <c r="V25" s="824">
        <f t="shared" si="3"/>
        <v>0</v>
      </c>
      <c r="W25" s="572">
        <f t="shared" si="4"/>
        <v>0</v>
      </c>
      <c r="X25" s="542"/>
      <c r="Y25" s="541" t="s">
        <v>585</v>
      </c>
      <c r="Z25" s="542"/>
      <c r="AA25" s="542">
        <f>G37</f>
        <v>14500</v>
      </c>
      <c r="AB25" s="542">
        <f>H37</f>
        <v>14500</v>
      </c>
      <c r="AC25" s="540">
        <f>I37</f>
        <v>11500</v>
      </c>
      <c r="AF25" s="541">
        <f t="shared" si="0"/>
        <v>1</v>
      </c>
      <c r="AG25" s="542"/>
      <c r="AH25" s="540"/>
    </row>
    <row r="26" spans="1:34" ht="12.75" thickBot="1">
      <c r="A26" s="605" t="s">
        <v>461</v>
      </c>
      <c r="B26" s="556">
        <f>B!B44</f>
        <v>2289600</v>
      </c>
      <c r="C26" s="559">
        <f>B26</f>
        <v>2289600</v>
      </c>
      <c r="D26" s="541">
        <f>B!E44</f>
        <v>1770021</v>
      </c>
      <c r="E26" s="572"/>
      <c r="F26" s="605"/>
      <c r="G26" s="541"/>
      <c r="H26" s="540"/>
      <c r="I26" s="542"/>
      <c r="J26" s="572"/>
      <c r="K26" s="2016" t="s">
        <v>533</v>
      </c>
      <c r="L26" s="2017"/>
      <c r="M26" s="2017"/>
      <c r="N26" s="2017"/>
      <c r="O26" s="2017"/>
      <c r="P26" s="2017"/>
      <c r="Q26" s="2018"/>
      <c r="R26" s="542"/>
      <c r="S26" s="542"/>
      <c r="T26" s="542"/>
      <c r="U26" s="542"/>
      <c r="V26" s="824">
        <f t="shared" si="3"/>
        <v>0</v>
      </c>
      <c r="W26" s="572">
        <f t="shared" si="4"/>
        <v>0</v>
      </c>
      <c r="X26" s="542"/>
      <c r="Y26" s="699" t="s">
        <v>584</v>
      </c>
      <c r="Z26" s="700"/>
      <c r="AA26" s="700">
        <f>SUM(AA24:AA25)</f>
        <v>1233050</v>
      </c>
      <c r="AB26" s="700">
        <f>SUM(AB24:AB25)</f>
        <v>1275050</v>
      </c>
      <c r="AC26" s="701">
        <f>SUM(AC24:AC25)</f>
        <v>1306400</v>
      </c>
      <c r="AF26" s="541">
        <f t="shared" si="0"/>
        <v>1</v>
      </c>
      <c r="AG26" s="542"/>
      <c r="AH26" s="540"/>
    </row>
    <row r="27" spans="1:34" ht="12">
      <c r="A27" s="605" t="s">
        <v>267</v>
      </c>
      <c r="B27" s="556"/>
      <c r="C27" s="559"/>
      <c r="D27" s="541">
        <v>110000</v>
      </c>
      <c r="E27" s="572"/>
      <c r="F27" s="665" t="s">
        <v>132</v>
      </c>
      <c r="G27" s="541">
        <f>B!J39</f>
        <v>255300</v>
      </c>
      <c r="H27" s="540">
        <f>G27</f>
        <v>255300</v>
      </c>
      <c r="I27" s="542">
        <f>B!K39</f>
        <v>194600</v>
      </c>
      <c r="J27" s="572"/>
      <c r="K27" s="656" t="s">
        <v>542</v>
      </c>
      <c r="L27" s="669">
        <f>B31</f>
        <v>3997788</v>
      </c>
      <c r="M27" s="670">
        <f>C31</f>
        <v>4010588</v>
      </c>
      <c r="N27" s="669"/>
      <c r="O27" s="670"/>
      <c r="P27" s="657"/>
      <c r="Q27" s="658"/>
      <c r="R27" s="542"/>
      <c r="S27" s="542"/>
      <c r="T27" s="542"/>
      <c r="U27" s="542"/>
      <c r="V27" s="824">
        <f t="shared" si="3"/>
        <v>255300</v>
      </c>
      <c r="W27" s="572">
        <f t="shared" si="4"/>
        <v>194600</v>
      </c>
      <c r="X27" s="542"/>
      <c r="Y27" s="541" t="s">
        <v>272</v>
      </c>
      <c r="Z27" s="542"/>
      <c r="AA27" s="542"/>
      <c r="AB27" s="542">
        <f>H6</f>
        <v>1438064</v>
      </c>
      <c r="AC27" s="540">
        <f>I6</f>
        <v>1056563</v>
      </c>
      <c r="AF27" s="541">
        <f t="shared" si="0"/>
        <v>1</v>
      </c>
      <c r="AG27" s="542"/>
      <c r="AH27" s="540"/>
    </row>
    <row r="28" spans="1:34" ht="12">
      <c r="A28" s="605" t="s">
        <v>269</v>
      </c>
      <c r="B28" s="556">
        <f>-B!J56</f>
        <v>-500</v>
      </c>
      <c r="C28" s="559">
        <f>B28</f>
        <v>-500</v>
      </c>
      <c r="D28" s="541"/>
      <c r="E28" s="572"/>
      <c r="F28" s="665" t="s">
        <v>480</v>
      </c>
      <c r="G28" s="541">
        <f>B!J40</f>
        <v>1824200</v>
      </c>
      <c r="H28" s="540">
        <f>G28</f>
        <v>1824200</v>
      </c>
      <c r="I28" s="542">
        <f>B!K40</f>
        <v>1644500</v>
      </c>
      <c r="J28" s="572"/>
      <c r="K28" s="656" t="s">
        <v>532</v>
      </c>
      <c r="L28" s="671">
        <f>-G31</f>
        <v>-2489045</v>
      </c>
      <c r="M28" s="672">
        <f>-H31</f>
        <v>-2489045</v>
      </c>
      <c r="N28" s="671"/>
      <c r="O28" s="672"/>
      <c r="P28" s="657"/>
      <c r="Q28" s="658"/>
      <c r="R28" s="542"/>
      <c r="S28" s="542"/>
      <c r="T28" s="542"/>
      <c r="U28" s="542"/>
      <c r="V28" s="824">
        <f t="shared" si="3"/>
        <v>1824200</v>
      </c>
      <c r="W28" s="572">
        <f t="shared" si="4"/>
        <v>1644500</v>
      </c>
      <c r="X28" s="542"/>
      <c r="Y28" s="541" t="s">
        <v>586</v>
      </c>
      <c r="Z28" s="542"/>
      <c r="AA28" s="542"/>
      <c r="AB28" s="595">
        <f>H15</f>
        <v>614510</v>
      </c>
      <c r="AC28" s="595">
        <f>I15</f>
        <v>552000</v>
      </c>
      <c r="AF28" s="541">
        <f t="shared" si="0"/>
        <v>1</v>
      </c>
      <c r="AG28" s="542"/>
      <c r="AH28" s="540"/>
    </row>
    <row r="29" spans="1:34" ht="12">
      <c r="A29" s="605" t="s">
        <v>462</v>
      </c>
      <c r="B29" s="556"/>
      <c r="C29" s="559">
        <f>B!D84</f>
        <v>12800</v>
      </c>
      <c r="D29" s="541"/>
      <c r="E29" s="572"/>
      <c r="F29" s="665" t="s">
        <v>296</v>
      </c>
      <c r="G29" s="541">
        <f>B!J43</f>
        <v>491312</v>
      </c>
      <c r="H29" s="540">
        <f>G29</f>
        <v>491312</v>
      </c>
      <c r="I29" s="542">
        <f>B!K43</f>
        <v>322215</v>
      </c>
      <c r="J29" s="572"/>
      <c r="K29" s="656"/>
      <c r="L29" s="673">
        <f>SUM(L27:L28)</f>
        <v>1508743</v>
      </c>
      <c r="M29" s="675">
        <f>SUM(M27:M28)</f>
        <v>1521543</v>
      </c>
      <c r="N29" s="673"/>
      <c r="O29" s="675"/>
      <c r="P29" s="657">
        <f>L29-N29</f>
        <v>1508743</v>
      </c>
      <c r="Q29" s="658"/>
      <c r="R29" s="542"/>
      <c r="S29" s="542"/>
      <c r="T29" s="542"/>
      <c r="U29" s="542"/>
      <c r="V29" s="824">
        <f t="shared" si="3"/>
        <v>491312</v>
      </c>
      <c r="W29" s="572">
        <f t="shared" si="4"/>
        <v>322215</v>
      </c>
      <c r="X29" s="542"/>
      <c r="Y29" s="699" t="s">
        <v>587</v>
      </c>
      <c r="Z29" s="700"/>
      <c r="AA29" s="700"/>
      <c r="AB29" s="700">
        <f>AB27+AB28</f>
        <v>2052574</v>
      </c>
      <c r="AC29" s="701">
        <f>AC27+AC28</f>
        <v>1608563</v>
      </c>
      <c r="AF29" s="541">
        <f t="shared" si="0"/>
        <v>1</v>
      </c>
      <c r="AG29" s="542"/>
      <c r="AH29" s="540"/>
    </row>
    <row r="30" spans="1:34" ht="12.75" thickBot="1">
      <c r="A30" s="605" t="s">
        <v>221</v>
      </c>
      <c r="B30" s="556">
        <f>B!D45</f>
        <v>4808</v>
      </c>
      <c r="C30" s="559">
        <f>B30</f>
        <v>4808</v>
      </c>
      <c r="D30" s="541"/>
      <c r="E30" s="611"/>
      <c r="F30" s="665" t="s">
        <v>133</v>
      </c>
      <c r="G30" s="541">
        <f>-B!J41</f>
        <v>-81767</v>
      </c>
      <c r="H30" s="540">
        <f>G30</f>
        <v>-81767</v>
      </c>
      <c r="I30" s="542">
        <f>-B!K41</f>
        <v>-42872</v>
      </c>
      <c r="J30" s="572"/>
      <c r="K30" s="656"/>
      <c r="L30" s="676"/>
      <c r="M30" s="677"/>
      <c r="N30" s="676"/>
      <c r="O30" s="677"/>
      <c r="P30" s="657"/>
      <c r="Q30" s="658"/>
      <c r="R30" s="542"/>
      <c r="S30" s="542"/>
      <c r="T30" s="542"/>
      <c r="U30" s="542"/>
      <c r="V30" s="824">
        <f t="shared" si="3"/>
        <v>-81767</v>
      </c>
      <c r="W30" s="572">
        <f t="shared" si="4"/>
        <v>-42872</v>
      </c>
      <c r="X30" s="542"/>
      <c r="Y30" s="541" t="s">
        <v>588</v>
      </c>
      <c r="Z30" s="542"/>
      <c r="AA30" s="542"/>
      <c r="AB30" s="542">
        <f>AB26/AB29</f>
        <v>0.6211956304620443</v>
      </c>
      <c r="AC30" s="540">
        <f>AC26/AC29</f>
        <v>0.8121534562214846</v>
      </c>
      <c r="AF30" s="541">
        <f t="shared" si="0"/>
        <v>1</v>
      </c>
      <c r="AG30" s="542"/>
      <c r="AH30" s="540"/>
    </row>
    <row r="31" spans="1:34" ht="12.75" thickBot="1">
      <c r="A31" s="625" t="s">
        <v>656</v>
      </c>
      <c r="B31" s="626">
        <f>SUM(B23:B30)</f>
        <v>3997788</v>
      </c>
      <c r="C31" s="627">
        <f>SUM(C24:C30)</f>
        <v>4010588</v>
      </c>
      <c r="D31" s="628">
        <f>SUM(D24:D30)</f>
        <v>3506156</v>
      </c>
      <c r="E31" s="630"/>
      <c r="F31" s="666" t="s">
        <v>655</v>
      </c>
      <c r="G31" s="628">
        <f>SUM(G27:G30)</f>
        <v>2489045</v>
      </c>
      <c r="H31" s="631">
        <f>SUM(H27:H30)</f>
        <v>2489045</v>
      </c>
      <c r="I31" s="629">
        <f>SUM(I27:I30)</f>
        <v>2118443</v>
      </c>
      <c r="J31" s="630">
        <f>SUM(J27:J30)</f>
        <v>0</v>
      </c>
      <c r="K31" s="2016" t="s">
        <v>534</v>
      </c>
      <c r="L31" s="2017"/>
      <c r="M31" s="2017"/>
      <c r="N31" s="2017"/>
      <c r="O31" s="2017"/>
      <c r="P31" s="2017"/>
      <c r="Q31" s="2018"/>
      <c r="V31" s="825">
        <f>SUM(V27:V30)</f>
        <v>2489045</v>
      </c>
      <c r="W31" s="630">
        <f>SUM(W27:W30)</f>
        <v>2118443</v>
      </c>
      <c r="Y31" s="1990" t="s">
        <v>590</v>
      </c>
      <c r="Z31" s="1991"/>
      <c r="AA31" s="1991"/>
      <c r="AB31" s="1991"/>
      <c r="AC31" s="1992"/>
      <c r="AF31" s="541">
        <f t="shared" si="0"/>
        <v>1</v>
      </c>
      <c r="AG31" s="542"/>
      <c r="AH31" s="540"/>
    </row>
    <row r="32" spans="1:34" ht="12.75">
      <c r="A32" s="605"/>
      <c r="B32" s="556"/>
      <c r="C32" s="559"/>
      <c r="D32" s="541"/>
      <c r="E32" s="572"/>
      <c r="F32" s="605"/>
      <c r="G32" s="541"/>
      <c r="H32" s="540"/>
      <c r="I32" s="542"/>
      <c r="J32" s="572"/>
      <c r="K32" s="605" t="s">
        <v>543</v>
      </c>
      <c r="L32" s="685">
        <f>B33</f>
        <v>14000</v>
      </c>
      <c r="M32" s="686">
        <f>C35</f>
        <v>14000</v>
      </c>
      <c r="N32" s="685">
        <f>D33</f>
        <v>40800</v>
      </c>
      <c r="O32" s="686"/>
      <c r="P32" s="542"/>
      <c r="Q32" s="572"/>
      <c r="V32" s="824">
        <f>IF(AF32=1,G32,IF(AF32=2,H32))</f>
        <v>0</v>
      </c>
      <c r="W32" s="572">
        <f>IF($W$4=1,I32,J32)</f>
        <v>0</v>
      </c>
      <c r="Y32" s="698"/>
      <c r="Z32" s="542"/>
      <c r="AA32" s="542"/>
      <c r="AB32" s="542"/>
      <c r="AC32" s="540"/>
      <c r="AF32" s="541">
        <f t="shared" si="0"/>
        <v>1</v>
      </c>
      <c r="AG32" s="542"/>
      <c r="AH32" s="540"/>
    </row>
    <row r="33" spans="1:34" ht="12">
      <c r="A33" s="605" t="s">
        <v>303</v>
      </c>
      <c r="B33" s="556">
        <f>B!B50</f>
        <v>14000</v>
      </c>
      <c r="C33" s="559">
        <f>B33</f>
        <v>14000</v>
      </c>
      <c r="D33" s="541">
        <f>B!E50</f>
        <v>40800</v>
      </c>
      <c r="E33" s="572"/>
      <c r="F33" s="665" t="s">
        <v>297</v>
      </c>
      <c r="G33" s="541">
        <f>B!J41</f>
        <v>81767</v>
      </c>
      <c r="H33" s="540">
        <f>G33</f>
        <v>81767</v>
      </c>
      <c r="I33" s="542">
        <f>-I30</f>
        <v>42872</v>
      </c>
      <c r="J33" s="572"/>
      <c r="K33" s="605" t="s">
        <v>539</v>
      </c>
      <c r="L33" s="687">
        <f>-G35</f>
        <v>-168659</v>
      </c>
      <c r="M33" s="688">
        <f>-H35</f>
        <v>-168659</v>
      </c>
      <c r="N33" s="687">
        <f>I35</f>
        <v>135790</v>
      </c>
      <c r="O33" s="688"/>
      <c r="P33" s="542"/>
      <c r="Q33" s="572"/>
      <c r="V33" s="824">
        <f>IF(AF33=1,G33,IF(AF33=2,H33))</f>
        <v>81767</v>
      </c>
      <c r="W33" s="572">
        <f>IF($W$4=1,I33,J33)</f>
        <v>42872</v>
      </c>
      <c r="Y33" s="541" t="s">
        <v>592</v>
      </c>
      <c r="Z33" s="542"/>
      <c r="AA33" s="542"/>
      <c r="AB33" s="542">
        <f>L29</f>
        <v>1508743</v>
      </c>
      <c r="AC33" s="540">
        <f>M29</f>
        <v>1521543</v>
      </c>
      <c r="AF33" s="541">
        <f t="shared" si="0"/>
        <v>1</v>
      </c>
      <c r="AG33" s="542"/>
      <c r="AH33" s="540"/>
    </row>
    <row r="34" spans="1:34" ht="12">
      <c r="A34" s="605"/>
      <c r="B34" s="556"/>
      <c r="C34" s="560"/>
      <c r="D34" s="612"/>
      <c r="E34" s="611"/>
      <c r="F34" s="665" t="s">
        <v>293</v>
      </c>
      <c r="G34" s="541">
        <f>B!J73</f>
        <v>86892</v>
      </c>
      <c r="H34" s="540">
        <f>G34</f>
        <v>86892</v>
      </c>
      <c r="I34" s="542">
        <f>-I17</f>
        <v>92918</v>
      </c>
      <c r="J34" s="611"/>
      <c r="K34" s="605"/>
      <c r="L34" s="681">
        <f>SUM(L32:L33)</f>
        <v>-154659</v>
      </c>
      <c r="M34" s="682">
        <f>SUM(M32:M33)</f>
        <v>-154659</v>
      </c>
      <c r="N34" s="681">
        <f>N32-N33</f>
        <v>-94990</v>
      </c>
      <c r="O34" s="682"/>
      <c r="P34" s="657">
        <f>L34-N34</f>
        <v>-59669</v>
      </c>
      <c r="Q34" s="572"/>
      <c r="V34" s="830">
        <f>IF(AF34=1,G34,IF(AF34=2,H34))</f>
        <v>86892</v>
      </c>
      <c r="W34" s="611">
        <f>IF($W$4=1,I34,J34)</f>
        <v>92918</v>
      </c>
      <c r="Y34" s="541" t="s">
        <v>44</v>
      </c>
      <c r="Z34" s="542"/>
      <c r="AA34" s="542"/>
      <c r="AB34" s="542">
        <f>'R1'!I9</f>
        <v>9238580</v>
      </c>
      <c r="AC34" s="540"/>
      <c r="AF34" s="541">
        <f t="shared" si="0"/>
        <v>1</v>
      </c>
      <c r="AG34" s="542"/>
      <c r="AH34" s="540"/>
    </row>
    <row r="35" spans="1:34" s="624" customFormat="1" ht="12.75" thickBot="1">
      <c r="A35" s="625" t="s">
        <v>653</v>
      </c>
      <c r="B35" s="626">
        <f>SUM(B33:B34)</f>
        <v>14000</v>
      </c>
      <c r="C35" s="627">
        <f>SUM(C33:C34)</f>
        <v>14000</v>
      </c>
      <c r="D35" s="628">
        <f>SUM(D32:D34)</f>
        <v>40800</v>
      </c>
      <c r="E35" s="630"/>
      <c r="F35" s="632" t="s">
        <v>654</v>
      </c>
      <c r="G35" s="628">
        <f>SUM(G33:G34)</f>
        <v>168659</v>
      </c>
      <c r="H35" s="631">
        <f>SUM(H33:H34)</f>
        <v>168659</v>
      </c>
      <c r="I35" s="629">
        <f>SUM(I33:I34)</f>
        <v>135790</v>
      </c>
      <c r="J35" s="630">
        <f>SUM(J33:J34)</f>
        <v>0</v>
      </c>
      <c r="K35" s="656"/>
      <c r="L35" s="676"/>
      <c r="M35" s="677"/>
      <c r="N35" s="676"/>
      <c r="O35" s="677"/>
      <c r="P35" s="657"/>
      <c r="Q35" s="658"/>
      <c r="V35" s="825">
        <f>SUM(V33:V34)</f>
        <v>168659</v>
      </c>
      <c r="W35" s="630">
        <f>SUM(W33:W34)</f>
        <v>135790</v>
      </c>
      <c r="Y35" s="541" t="s">
        <v>593</v>
      </c>
      <c r="Z35" s="613"/>
      <c r="AA35" s="613"/>
      <c r="AB35" s="613">
        <f>AB33/AB34</f>
        <v>0.16330897172509196</v>
      </c>
      <c r="AC35" s="614"/>
      <c r="AF35" s="541">
        <f t="shared" si="0"/>
        <v>1</v>
      </c>
      <c r="AG35" s="613"/>
      <c r="AH35" s="614"/>
    </row>
    <row r="36" spans="1:34" ht="12.75" thickBot="1">
      <c r="A36" s="605"/>
      <c r="B36" s="556"/>
      <c r="C36" s="559"/>
      <c r="D36" s="541"/>
      <c r="E36" s="572"/>
      <c r="F36" s="605"/>
      <c r="G36" s="541"/>
      <c r="H36" s="540"/>
      <c r="I36" s="542"/>
      <c r="J36" s="572"/>
      <c r="K36" s="2016" t="s">
        <v>535</v>
      </c>
      <c r="L36" s="2017"/>
      <c r="M36" s="2017"/>
      <c r="N36" s="2017"/>
      <c r="O36" s="2017"/>
      <c r="P36" s="2017"/>
      <c r="Q36" s="2018"/>
      <c r="V36" s="824">
        <f>IF(AF36=1,G36,IF(AF36=2,H36))</f>
        <v>0</v>
      </c>
      <c r="W36" s="572">
        <f>IF($W$4=1,I36,J36)</f>
        <v>0</v>
      </c>
      <c r="Y36" s="541"/>
      <c r="Z36" s="542"/>
      <c r="AA36" s="542"/>
      <c r="AB36" s="542"/>
      <c r="AC36" s="540"/>
      <c r="AF36" s="541">
        <f t="shared" si="0"/>
        <v>1</v>
      </c>
      <c r="AG36" s="542"/>
      <c r="AH36" s="540"/>
    </row>
    <row r="37" spans="1:34" ht="12">
      <c r="A37" s="605" t="s">
        <v>268</v>
      </c>
      <c r="B37" s="556">
        <f>B!B51</f>
        <v>263800</v>
      </c>
      <c r="C37" s="559">
        <f>B37</f>
        <v>263800</v>
      </c>
      <c r="D37" s="541">
        <f>B!E51</f>
        <v>146120</v>
      </c>
      <c r="E37" s="572"/>
      <c r="F37" s="605" t="s">
        <v>481</v>
      </c>
      <c r="G37" s="541">
        <f>B!J69</f>
        <v>14500</v>
      </c>
      <c r="H37" s="540">
        <f>G37</f>
        <v>14500</v>
      </c>
      <c r="I37" s="542">
        <f>B!K69</f>
        <v>11500</v>
      </c>
      <c r="J37" s="572"/>
      <c r="K37" s="656" t="s">
        <v>537</v>
      </c>
      <c r="L37" s="685">
        <f>L9</f>
        <v>1603384</v>
      </c>
      <c r="M37" s="686">
        <f>M9</f>
        <v>1603384</v>
      </c>
      <c r="N37" s="685">
        <f>N13</f>
        <v>1427343</v>
      </c>
      <c r="O37" s="686"/>
      <c r="P37" s="657"/>
      <c r="Q37" s="658"/>
      <c r="V37" s="824">
        <f>IF(AF37=1,G37,IF(AF37=2,H37))</f>
        <v>14500</v>
      </c>
      <c r="W37" s="572">
        <f>IF($W$4=1,I37,J37)</f>
        <v>11500</v>
      </c>
      <c r="Y37" s="1987"/>
      <c r="Z37" s="1988"/>
      <c r="AA37" s="1988"/>
      <c r="AB37" s="1988"/>
      <c r="AC37" s="1989"/>
      <c r="AF37" s="541">
        <f t="shared" si="0"/>
        <v>1</v>
      </c>
      <c r="AG37" s="542"/>
      <c r="AH37" s="540"/>
    </row>
    <row r="38" spans="1:34" ht="12">
      <c r="A38" s="605"/>
      <c r="B38" s="556"/>
      <c r="C38" s="559"/>
      <c r="D38" s="541"/>
      <c r="E38" s="572"/>
      <c r="F38" s="605" t="s">
        <v>487</v>
      </c>
      <c r="G38" s="541"/>
      <c r="H38" s="540">
        <f>B!D84</f>
        <v>12800</v>
      </c>
      <c r="I38" s="542"/>
      <c r="J38" s="572"/>
      <c r="K38" s="656" t="s">
        <v>536</v>
      </c>
      <c r="L38" s="687">
        <f>-L25</f>
        <v>-1354084</v>
      </c>
      <c r="M38" s="688">
        <f>-M25</f>
        <v>-1366884</v>
      </c>
      <c r="N38" s="687">
        <f>-N25</f>
        <v>-1292723</v>
      </c>
      <c r="O38" s="688"/>
      <c r="P38" s="657"/>
      <c r="Q38" s="658"/>
      <c r="V38" s="824">
        <f>IF(AF38=1,G38,IF(AF38=2,H38))</f>
        <v>0</v>
      </c>
      <c r="W38" s="572">
        <f>IF($W$4=1,I38,J38)</f>
        <v>0</v>
      </c>
      <c r="Y38" s="548" t="s">
        <v>312</v>
      </c>
      <c r="Z38" s="552"/>
      <c r="AA38" s="552"/>
      <c r="AB38" s="552">
        <f>Stock!B3</f>
        <v>1087840</v>
      </c>
      <c r="AC38" s="549"/>
      <c r="AF38" s="541">
        <f t="shared" si="0"/>
        <v>1</v>
      </c>
      <c r="AG38" s="542"/>
      <c r="AH38" s="540"/>
    </row>
    <row r="39" spans="1:34" ht="12">
      <c r="A39" s="633" t="s">
        <v>299</v>
      </c>
      <c r="B39" s="626">
        <f>SUM(B37:B38)</f>
        <v>263800</v>
      </c>
      <c r="C39" s="627">
        <f>SUM(C37:C38)</f>
        <v>263800</v>
      </c>
      <c r="D39" s="628">
        <f>SUM(D36:D38)</f>
        <v>146120</v>
      </c>
      <c r="E39" s="630"/>
      <c r="F39" s="625" t="s">
        <v>306</v>
      </c>
      <c r="G39" s="628">
        <f>SUM(G37:G38)</f>
        <v>14500</v>
      </c>
      <c r="H39" s="631">
        <f>SUM(H37:H38)</f>
        <v>27300</v>
      </c>
      <c r="I39" s="629">
        <f>SUM(I37:I38)</f>
        <v>11500</v>
      </c>
      <c r="J39" s="630">
        <f>SUM(J37:J38)</f>
        <v>0</v>
      </c>
      <c r="K39" s="656" t="s">
        <v>535</v>
      </c>
      <c r="L39" s="673">
        <f>SUM(L37:L38)</f>
        <v>249300</v>
      </c>
      <c r="M39" s="675">
        <f>SUM(M37:M38)</f>
        <v>236500</v>
      </c>
      <c r="N39" s="673">
        <f>SUM(N37:N38)</f>
        <v>134620</v>
      </c>
      <c r="O39" s="675"/>
      <c r="P39" s="657">
        <f>L39-N39</f>
        <v>114680</v>
      </c>
      <c r="Q39" s="658"/>
      <c r="V39" s="825">
        <f>SUM(V37:V38)</f>
        <v>14500</v>
      </c>
      <c r="W39" s="630">
        <f>SUM(W37:W38)</f>
        <v>11500</v>
      </c>
      <c r="Y39" s="541" t="s">
        <v>313</v>
      </c>
      <c r="Z39" s="542"/>
      <c r="AA39" s="542"/>
      <c r="AB39" s="542">
        <f>Stock!C3</f>
        <v>1043200</v>
      </c>
      <c r="AC39" s="540"/>
      <c r="AF39" s="541">
        <f t="shared" si="0"/>
        <v>1</v>
      </c>
      <c r="AG39" s="542"/>
      <c r="AH39" s="540"/>
    </row>
    <row r="40" spans="1:34" ht="12">
      <c r="A40" s="604"/>
      <c r="B40" s="556"/>
      <c r="C40" s="559"/>
      <c r="D40" s="541"/>
      <c r="E40" s="572"/>
      <c r="F40" s="605"/>
      <c r="G40" s="541"/>
      <c r="H40" s="540"/>
      <c r="I40" s="542"/>
      <c r="J40" s="572"/>
      <c r="K40" s="605"/>
      <c r="L40" s="681"/>
      <c r="M40" s="682"/>
      <c r="N40" s="681"/>
      <c r="O40" s="682"/>
      <c r="P40" s="542"/>
      <c r="Q40" s="572"/>
      <c r="V40" s="824">
        <f>IF(AF40=1,G40,IF(AF40=2,H40))</f>
        <v>0</v>
      </c>
      <c r="W40" s="572">
        <f>IF($W$4=1,I40,J40)</f>
        <v>0</v>
      </c>
      <c r="Y40" s="541" t="s">
        <v>695</v>
      </c>
      <c r="Z40" s="542"/>
      <c r="AA40" s="542"/>
      <c r="AB40" s="910">
        <f>(AB38+AB39)/2</f>
        <v>1065520</v>
      </c>
      <c r="AC40" s="540"/>
      <c r="AF40" s="541">
        <f t="shared" si="0"/>
        <v>1</v>
      </c>
      <c r="AG40" s="542"/>
      <c r="AH40" s="540"/>
    </row>
    <row r="41" spans="1:34" ht="12">
      <c r="A41" s="608" t="s">
        <v>490</v>
      </c>
      <c r="B41" s="561">
        <f>B39+B35+B31</f>
        <v>4275588</v>
      </c>
      <c r="C41" s="562">
        <f>C39+C35+C31</f>
        <v>4288388</v>
      </c>
      <c r="D41" s="561">
        <f>D39+D35+D31</f>
        <v>3693076</v>
      </c>
      <c r="E41" s="573"/>
      <c r="F41" s="608" t="s">
        <v>489</v>
      </c>
      <c r="G41" s="563">
        <f>G35+G31+G39</f>
        <v>2672204</v>
      </c>
      <c r="H41" s="564">
        <f>H35+H31+H39</f>
        <v>2685004</v>
      </c>
      <c r="I41" s="565">
        <f>I35+I31+I39</f>
        <v>2265733</v>
      </c>
      <c r="J41" s="575">
        <f>J35+J31+J39</f>
        <v>0</v>
      </c>
      <c r="K41" s="656" t="s">
        <v>299</v>
      </c>
      <c r="L41" s="681">
        <f>B39</f>
        <v>263800</v>
      </c>
      <c r="M41" s="682">
        <f>C39</f>
        <v>263800</v>
      </c>
      <c r="N41" s="681">
        <f>D39</f>
        <v>146120</v>
      </c>
      <c r="O41" s="682"/>
      <c r="P41" s="657"/>
      <c r="Q41" s="658"/>
      <c r="V41" s="827">
        <f>V35+V31+V39</f>
        <v>2672204</v>
      </c>
      <c r="W41" s="575">
        <f>W35+W31+W39</f>
        <v>2265733</v>
      </c>
      <c r="Y41" s="541" t="s">
        <v>1191</v>
      </c>
      <c r="Z41" s="542"/>
      <c r="AA41" s="542"/>
      <c r="AB41" s="910">
        <f>AchatMat1ères</f>
        <v>3753000</v>
      </c>
      <c r="AC41" s="540"/>
      <c r="AF41" s="541">
        <f t="shared" si="0"/>
        <v>1</v>
      </c>
      <c r="AG41" s="542"/>
      <c r="AH41" s="540"/>
    </row>
    <row r="42" spans="1:34" ht="12">
      <c r="A42" s="604"/>
      <c r="B42" s="556"/>
      <c r="C42" s="559"/>
      <c r="D42" s="541"/>
      <c r="E42" s="572"/>
      <c r="F42" s="605"/>
      <c r="G42" s="541"/>
      <c r="H42" s="540"/>
      <c r="I42" s="542"/>
      <c r="J42" s="572"/>
      <c r="K42" s="656" t="s">
        <v>306</v>
      </c>
      <c r="L42" s="687">
        <f>-G39</f>
        <v>-14500</v>
      </c>
      <c r="M42" s="688">
        <f>-H39</f>
        <v>-27300</v>
      </c>
      <c r="N42" s="687">
        <f>-I39</f>
        <v>-11500</v>
      </c>
      <c r="O42" s="688"/>
      <c r="P42" s="657"/>
      <c r="Q42" s="658"/>
      <c r="V42" s="824">
        <f>IF(AF42=1,G42,IF(AF42=2,H42))</f>
        <v>0</v>
      </c>
      <c r="W42" s="572">
        <f>IF($W$4=1,I42,J42)</f>
        <v>0</v>
      </c>
      <c r="Y42" s="548"/>
      <c r="Z42" s="552"/>
      <c r="AA42" s="552"/>
      <c r="AB42" s="912">
        <f>(AB40/AB41)*360</f>
        <v>102.20815347721823</v>
      </c>
      <c r="AC42" s="549"/>
      <c r="AF42" s="541">
        <f t="shared" si="0"/>
        <v>1</v>
      </c>
      <c r="AG42" s="542"/>
      <c r="AH42" s="540"/>
    </row>
    <row r="43" spans="1:34" ht="12.75" thickBot="1">
      <c r="A43" s="616" t="s">
        <v>491</v>
      </c>
      <c r="B43" s="617">
        <f>B41+B22</f>
        <v>5895328</v>
      </c>
      <c r="C43" s="618">
        <f>C41+C22</f>
        <v>5958128</v>
      </c>
      <c r="D43" s="619">
        <f>D41+D22</f>
        <v>5169196</v>
      </c>
      <c r="E43" s="621"/>
      <c r="F43" s="622" t="s">
        <v>488</v>
      </c>
      <c r="G43" s="619">
        <f>G41+G22</f>
        <v>5895328</v>
      </c>
      <c r="H43" s="623">
        <f>H41+H22</f>
        <v>5958128</v>
      </c>
      <c r="I43" s="620">
        <f>I41+I22</f>
        <v>5169196</v>
      </c>
      <c r="J43" s="621">
        <f>J41+J22</f>
        <v>0</v>
      </c>
      <c r="K43" s="667" t="s">
        <v>535</v>
      </c>
      <c r="L43" s="676">
        <f>SUM(L41:L42)</f>
        <v>249300</v>
      </c>
      <c r="M43" s="677">
        <f>M41-M42</f>
        <v>291100</v>
      </c>
      <c r="N43" s="676">
        <f>SUM(N41:N42)</f>
        <v>134620</v>
      </c>
      <c r="O43" s="677"/>
      <c r="P43" s="712">
        <f>L43-N43</f>
        <v>114680</v>
      </c>
      <c r="Q43" s="668"/>
      <c r="V43" s="831">
        <f>V41+V22</f>
        <v>5291818</v>
      </c>
      <c r="W43" s="621">
        <f>W41+W22</f>
        <v>5169196</v>
      </c>
      <c r="Y43" s="548"/>
      <c r="Z43" s="552"/>
      <c r="AA43" s="552"/>
      <c r="AB43" s="552"/>
      <c r="AC43" s="549"/>
      <c r="AF43" s="615">
        <f t="shared" si="0"/>
        <v>1</v>
      </c>
      <c r="AG43" s="551"/>
      <c r="AH43" s="550"/>
    </row>
    <row r="44" spans="25:29" ht="12">
      <c r="Y44" s="541" t="s">
        <v>699</v>
      </c>
      <c r="Z44" s="542"/>
      <c r="AA44" s="542"/>
      <c r="AB44" s="542">
        <f>Stock!B6</f>
        <v>254040</v>
      </c>
      <c r="AC44" s="540"/>
    </row>
    <row r="45" spans="25:29" ht="12">
      <c r="Y45" s="541" t="s">
        <v>712</v>
      </c>
      <c r="Z45" s="542"/>
      <c r="AA45" s="542"/>
      <c r="AB45" s="542">
        <f>Stock!C6</f>
        <v>396180</v>
      </c>
      <c r="AC45" s="540"/>
    </row>
    <row r="46" spans="25:29" ht="12">
      <c r="Y46" s="541" t="s">
        <v>314</v>
      </c>
      <c r="Z46" s="542"/>
      <c r="AA46" s="542"/>
      <c r="AB46" s="910">
        <f>(AB44+AB45)/2</f>
        <v>325110</v>
      </c>
      <c r="AC46" s="540"/>
    </row>
    <row r="47" spans="25:29" ht="12">
      <c r="Y47" s="541" t="s">
        <v>713</v>
      </c>
      <c r="Z47" s="542"/>
      <c r="AA47" s="542"/>
      <c r="AB47" s="542"/>
      <c r="AC47" s="540"/>
    </row>
    <row r="48" spans="25:29" ht="12">
      <c r="Y48" s="541" t="str">
        <f>'R1'!A8</f>
        <v>Achat de matières premières et autre approvisionnement</v>
      </c>
      <c r="Z48" s="542"/>
      <c r="AA48" s="542"/>
      <c r="AB48" s="657">
        <f>AchatMat1ères</f>
        <v>3753000</v>
      </c>
      <c r="AC48" s="540"/>
    </row>
    <row r="49" spans="25:29" ht="12">
      <c r="Y49" s="541" t="str">
        <f>'R1'!A9</f>
        <v>Variation de stock</v>
      </c>
      <c r="Z49" s="542"/>
      <c r="AA49" s="542"/>
      <c r="AB49" s="542">
        <f>StockMat1ères</f>
        <v>44640</v>
      </c>
      <c r="AC49" s="540"/>
    </row>
    <row r="50" spans="25:29" ht="12">
      <c r="Y50" s="541" t="str">
        <f>'R1'!A11</f>
        <v>Autre achats et charges externes</v>
      </c>
      <c r="Z50" s="542"/>
      <c r="AA50" s="542"/>
      <c r="AB50" s="542">
        <f>Achat_Charges_externes</f>
        <v>463270</v>
      </c>
      <c r="AC50" s="540"/>
    </row>
    <row r="51" spans="25:29" ht="12">
      <c r="Y51" s="541" t="str">
        <f>'R1'!A13</f>
        <v>Impots, taxes et versement assimilés</v>
      </c>
      <c r="Z51" s="542"/>
      <c r="AA51" s="542"/>
      <c r="AB51" s="542">
        <f>Impot_Taxe_Versmt</f>
        <v>305837</v>
      </c>
      <c r="AC51" s="540"/>
    </row>
    <row r="52" spans="25:29" ht="12">
      <c r="Y52" s="541" t="str">
        <f>'R1'!A14</f>
        <v>Salaire et traitement</v>
      </c>
      <c r="Z52" s="542"/>
      <c r="AA52" s="542"/>
      <c r="AB52" s="542">
        <f>Salaire_traitements</f>
        <v>2822650</v>
      </c>
      <c r="AC52" s="540"/>
    </row>
    <row r="53" spans="25:29" ht="12">
      <c r="Y53" s="541" t="str">
        <f>'R1'!A15</f>
        <v>Charges sociales</v>
      </c>
      <c r="Z53" s="542"/>
      <c r="AA53" s="542"/>
      <c r="AB53" s="542">
        <f>Charges_sociales</f>
        <v>1203835</v>
      </c>
      <c r="AC53" s="540"/>
    </row>
    <row r="54" spans="25:29" ht="12">
      <c r="Y54" s="541" t="str">
        <f>'BD'!B4</f>
        <v>Dotation et ammortissement des charges indirecte incluse ds tableau de répartition</v>
      </c>
      <c r="Z54" s="542"/>
      <c r="AA54" s="542"/>
      <c r="AB54" s="542">
        <f>'BD'!I4</f>
        <v>111230</v>
      </c>
      <c r="AC54" s="540"/>
    </row>
    <row r="55" spans="25:29" ht="12">
      <c r="Y55" s="541"/>
      <c r="Z55" s="542"/>
      <c r="AA55" s="542"/>
      <c r="AB55" s="910">
        <f>SUM(AB48:AB54)</f>
        <v>8704462</v>
      </c>
      <c r="AC55" s="540"/>
    </row>
    <row r="56" spans="25:29" ht="12">
      <c r="Y56" s="615"/>
      <c r="Z56" s="551"/>
      <c r="AA56" s="551"/>
      <c r="AB56" s="913">
        <f>AB46/AB55*360</f>
        <v>13.445931523395702</v>
      </c>
      <c r="AC56" s="550"/>
    </row>
    <row r="57" spans="25:29" ht="12">
      <c r="Y57" s="548"/>
      <c r="Z57" s="552"/>
      <c r="AA57" s="552"/>
      <c r="AB57" s="552"/>
      <c r="AC57" s="549"/>
    </row>
    <row r="58" spans="25:29" ht="12">
      <c r="Y58" s="541" t="s">
        <v>716</v>
      </c>
      <c r="Z58" s="542"/>
      <c r="AA58" s="542"/>
      <c r="AB58" s="542"/>
      <c r="AC58" s="540"/>
    </row>
    <row r="59" spans="25:29" ht="12">
      <c r="Y59" s="541"/>
      <c r="Z59" s="542"/>
      <c r="AA59" s="542"/>
      <c r="AB59" s="542"/>
      <c r="AC59" s="540"/>
    </row>
    <row r="60" spans="25:29" ht="12">
      <c r="Y60" s="541" t="s">
        <v>717</v>
      </c>
      <c r="Z60" s="542"/>
      <c r="AA60" s="542"/>
      <c r="AB60" s="542">
        <f>B!B44</f>
        <v>2289600</v>
      </c>
      <c r="AC60" s="540"/>
    </row>
    <row r="61" spans="25:29" ht="12">
      <c r="Y61" s="541" t="s">
        <v>718</v>
      </c>
      <c r="Z61" s="542"/>
      <c r="AA61" s="542"/>
      <c r="AB61" s="542">
        <f>B!D84</f>
        <v>12800</v>
      </c>
      <c r="AC61" s="540"/>
    </row>
    <row r="62" spans="25:29" ht="12">
      <c r="Y62" s="541"/>
      <c r="Z62" s="542"/>
      <c r="AA62" s="542"/>
      <c r="AB62" s="927">
        <f>SUM(AB60:AB61)</f>
        <v>2302400</v>
      </c>
      <c r="AC62" s="540"/>
    </row>
    <row r="63" spans="25:29" ht="12">
      <c r="Y63" s="541"/>
      <c r="Z63" s="542"/>
      <c r="AA63" s="542"/>
      <c r="AB63" s="542"/>
      <c r="AC63" s="540"/>
    </row>
    <row r="64" spans="25:29" ht="12">
      <c r="Y64" s="541" t="s">
        <v>720</v>
      </c>
      <c r="Z64" s="542"/>
      <c r="AA64" s="542"/>
      <c r="AB64" s="542">
        <f>'R1'!I9</f>
        <v>9238580</v>
      </c>
      <c r="AC64" s="540"/>
    </row>
    <row r="65" spans="25:29" ht="12">
      <c r="Y65" s="541" t="s">
        <v>316</v>
      </c>
      <c r="Z65" s="542"/>
      <c r="AA65" s="542"/>
      <c r="AB65" s="751">
        <f>'BD'!E5</f>
        <v>0.206</v>
      </c>
      <c r="AC65" s="540"/>
    </row>
    <row r="66" spans="25:29" ht="12">
      <c r="Y66" s="541" t="s">
        <v>721</v>
      </c>
      <c r="Z66" s="542"/>
      <c r="AA66" s="542"/>
      <c r="AB66" s="915">
        <f>1+AB65</f>
        <v>1.206</v>
      </c>
      <c r="AC66" s="540"/>
    </row>
    <row r="67" spans="25:29" ht="12">
      <c r="Y67" s="541" t="s">
        <v>719</v>
      </c>
      <c r="Z67" s="542"/>
      <c r="AA67" s="542"/>
      <c r="AB67" s="927">
        <f>AB64*AB66</f>
        <v>11141727.48</v>
      </c>
      <c r="AC67" s="540"/>
    </row>
    <row r="68" spans="25:29" ht="12">
      <c r="Y68" s="615"/>
      <c r="Z68" s="551"/>
      <c r="AA68" s="551"/>
      <c r="AB68" s="551">
        <f>AB62/AB67*360</f>
        <v>74.39277270852796</v>
      </c>
      <c r="AC68" s="550"/>
    </row>
    <row r="69" spans="25:29" ht="12">
      <c r="Y69" s="548"/>
      <c r="Z69" s="552"/>
      <c r="AA69" s="552"/>
      <c r="AB69" s="552"/>
      <c r="AC69" s="549"/>
    </row>
    <row r="70" spans="25:29" ht="12">
      <c r="Y70" s="541" t="s">
        <v>722</v>
      </c>
      <c r="Z70" s="542"/>
      <c r="AA70" s="542"/>
      <c r="AB70" s="542"/>
      <c r="AC70" s="540"/>
    </row>
    <row r="71" spans="25:29" ht="12">
      <c r="Y71" s="541"/>
      <c r="Z71" s="542"/>
      <c r="AA71" s="542"/>
      <c r="AB71" s="542"/>
      <c r="AC71" s="540"/>
    </row>
    <row r="72" spans="25:29" ht="12">
      <c r="Y72" s="541" t="s">
        <v>723</v>
      </c>
      <c r="Z72" s="542"/>
      <c r="AA72" s="542"/>
      <c r="AB72" s="542">
        <f>B!J40</f>
        <v>1824200</v>
      </c>
      <c r="AC72" s="540"/>
    </row>
    <row r="73" spans="25:29" ht="12">
      <c r="Y73" s="541"/>
      <c r="Z73" s="542"/>
      <c r="AA73" s="542"/>
      <c r="AB73" s="542"/>
      <c r="AC73" s="540"/>
    </row>
    <row r="74" spans="25:29" ht="12">
      <c r="Y74" s="541" t="s">
        <v>724</v>
      </c>
      <c r="Z74" s="542"/>
      <c r="AA74" s="542"/>
      <c r="AB74" s="542">
        <f>AchatMat1ères</f>
        <v>3753000</v>
      </c>
      <c r="AC74" s="540"/>
    </row>
    <row r="75" spans="25:29" ht="12">
      <c r="Y75" s="541" t="s">
        <v>735</v>
      </c>
      <c r="Z75" s="542"/>
      <c r="AA75" s="542"/>
      <c r="AB75" s="542">
        <f>Achat_Charges_externes</f>
        <v>463270</v>
      </c>
      <c r="AC75" s="540"/>
    </row>
    <row r="76" spans="25:29" ht="12">
      <c r="Y76" s="541"/>
      <c r="Z76" s="542"/>
      <c r="AA76" s="542"/>
      <c r="AB76" s="928">
        <f>SUM(AB74:AB75)</f>
        <v>4216270</v>
      </c>
      <c r="AC76" s="540"/>
    </row>
    <row r="77" spans="25:29" ht="12">
      <c r="Y77" s="541" t="s">
        <v>725</v>
      </c>
      <c r="Z77" s="542"/>
      <c r="AA77" s="542"/>
      <c r="AB77" s="751">
        <f>'BD'!E5</f>
        <v>0.206</v>
      </c>
      <c r="AC77" s="902"/>
    </row>
    <row r="78" spans="25:29" ht="12">
      <c r="Y78" s="541" t="s">
        <v>726</v>
      </c>
      <c r="Z78" s="542"/>
      <c r="AA78" s="542"/>
      <c r="AB78" s="915">
        <f>'BD'!J5</f>
        <v>1.206</v>
      </c>
      <c r="AC78" s="926"/>
    </row>
    <row r="79" spans="25:29" ht="12">
      <c r="Y79" s="541" t="s">
        <v>727</v>
      </c>
      <c r="Z79" s="542"/>
      <c r="AA79" s="542"/>
      <c r="AB79" s="927">
        <f>AB76*AB78</f>
        <v>5084821.62</v>
      </c>
      <c r="AC79" s="540"/>
    </row>
    <row r="80" spans="25:29" ht="12">
      <c r="Y80" s="541"/>
      <c r="Z80" s="542"/>
      <c r="AA80" s="542"/>
      <c r="AB80" s="915">
        <f>(AB72/AB79)*360</f>
        <v>129.15143324142804</v>
      </c>
      <c r="AC80" s="926"/>
    </row>
    <row r="81" spans="25:29" ht="12">
      <c r="Y81" s="615"/>
      <c r="Z81" s="551"/>
      <c r="AA81" s="551"/>
      <c r="AB81" s="551"/>
      <c r="AC81" s="550"/>
    </row>
    <row r="82" spans="25:29" ht="12">
      <c r="Y82" s="542"/>
      <c r="Z82" s="542"/>
      <c r="AA82" s="542"/>
      <c r="AB82" s="542"/>
      <c r="AC82" s="542"/>
    </row>
  </sheetData>
  <sheetProtection/>
  <mergeCells count="28">
    <mergeCell ref="K36:Q36"/>
    <mergeCell ref="N3:O3"/>
    <mergeCell ref="P3:Q3"/>
    <mergeCell ref="K6:Q6"/>
    <mergeCell ref="K5:M5"/>
    <mergeCell ref="K14:Q14"/>
    <mergeCell ref="K26:Q26"/>
    <mergeCell ref="K31:Q31"/>
    <mergeCell ref="K1:M1"/>
    <mergeCell ref="K2:M2"/>
    <mergeCell ref="A1:J1"/>
    <mergeCell ref="L3:M3"/>
    <mergeCell ref="D3:E3"/>
    <mergeCell ref="I3:J3"/>
    <mergeCell ref="A2:E2"/>
    <mergeCell ref="F2:J2"/>
    <mergeCell ref="A23:E23"/>
    <mergeCell ref="F23:J23"/>
    <mergeCell ref="F5:J5"/>
    <mergeCell ref="A5:E5"/>
    <mergeCell ref="B3:C3"/>
    <mergeCell ref="G3:H3"/>
    <mergeCell ref="Y37:AC37"/>
    <mergeCell ref="Y5:AC5"/>
    <mergeCell ref="Y15:AC15"/>
    <mergeCell ref="AA3:AB3"/>
    <mergeCell ref="Z3:Z4"/>
    <mergeCell ref="Y31:AC31"/>
  </mergeCells>
  <printOptions/>
  <pageMargins left="0.1968503937007874" right="0.1968503937007874" top="0.3937007874015748" bottom="0.3937007874015748" header="0.5118110236220472" footer="0.5118110236220472"/>
  <pageSetup orientation="landscape" pageOrder="overThenDown" paperSize="9"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euil28"/>
  <dimension ref="A1:AN43"/>
  <sheetViews>
    <sheetView zoomScalePageLayoutView="0" workbookViewId="0" topLeftCell="A1">
      <selection activeCell="AC1" sqref="AC1:AH1"/>
    </sheetView>
  </sheetViews>
  <sheetFormatPr defaultColWidth="11.421875" defaultRowHeight="12.75"/>
  <cols>
    <col min="1" max="1" width="26.57421875" style="595" customWidth="1"/>
    <col min="2" max="2" width="10.7109375" style="557" customWidth="1"/>
    <col min="3" max="3" width="12.140625" style="557" customWidth="1"/>
    <col min="4" max="4" width="10.8515625" style="595" customWidth="1"/>
    <col min="5" max="5" width="10.57421875" style="595" customWidth="1"/>
    <col min="6" max="6" width="23.7109375" style="595" customWidth="1"/>
    <col min="7" max="7" width="11.140625" style="595" customWidth="1"/>
    <col min="8" max="8" width="11.28125" style="595" customWidth="1"/>
    <col min="9" max="9" width="9.7109375" style="595" customWidth="1"/>
    <col min="10" max="10" width="10.8515625" style="595" customWidth="1"/>
    <col min="11" max="11" width="26.57421875" style="595" customWidth="1"/>
    <col min="12" max="12" width="11.7109375" style="595" customWidth="1"/>
    <col min="13" max="13" width="11.140625" style="595" customWidth="1"/>
    <col min="14" max="14" width="11.7109375" style="595" customWidth="1"/>
    <col min="15" max="15" width="11.140625" style="595" customWidth="1"/>
    <col min="16" max="16" width="11.7109375" style="595" customWidth="1"/>
    <col min="17" max="21" width="11.140625" style="595" customWidth="1"/>
    <col min="22" max="22" width="38.28125" style="595" customWidth="1"/>
    <col min="23" max="23" width="13.8515625" style="595" customWidth="1"/>
    <col min="24" max="24" width="12.140625" style="595" customWidth="1"/>
    <col min="25" max="25" width="11.421875" style="595" customWidth="1"/>
    <col min="26" max="26" width="12.57421875" style="595" customWidth="1"/>
    <col min="27" max="27" width="3.140625" style="657" customWidth="1"/>
    <col min="28" max="28" width="40.7109375" style="657" customWidth="1"/>
    <col min="29" max="29" width="27.00390625" style="657" customWidth="1"/>
    <col min="30" max="31" width="10.8515625" style="595" customWidth="1"/>
    <col min="32" max="32" width="26.00390625" style="595" customWidth="1"/>
    <col min="33" max="34" width="10.8515625" style="595" customWidth="1"/>
    <col min="35" max="35" width="33.7109375" style="595" customWidth="1"/>
    <col min="36" max="16384" width="11.421875" style="595" customWidth="1"/>
  </cols>
  <sheetData>
    <row r="1" spans="1:40" ht="13.5" customHeight="1" thickBot="1">
      <c r="A1" s="2008" t="s">
        <v>485</v>
      </c>
      <c r="B1" s="2009"/>
      <c r="C1" s="2009"/>
      <c r="D1" s="2009"/>
      <c r="E1" s="2009"/>
      <c r="F1" s="2009"/>
      <c r="G1" s="2009"/>
      <c r="H1" s="2009"/>
      <c r="I1" s="2009"/>
      <c r="J1" s="2010"/>
      <c r="K1" s="2004"/>
      <c r="L1" s="2005"/>
      <c r="M1" s="2005"/>
      <c r="N1" s="644"/>
      <c r="O1" s="644"/>
      <c r="P1" s="644"/>
      <c r="Q1" s="645"/>
      <c r="V1" s="548"/>
      <c r="W1" s="552"/>
      <c r="X1" s="552"/>
      <c r="Y1" s="552"/>
      <c r="Z1" s="549"/>
      <c r="AC1" s="2028" t="s">
        <v>485</v>
      </c>
      <c r="AD1" s="2029"/>
      <c r="AE1" s="2029"/>
      <c r="AF1" s="2029"/>
      <c r="AG1" s="2029"/>
      <c r="AH1" s="2029"/>
      <c r="AI1" s="869"/>
      <c r="AJ1" s="870"/>
      <c r="AL1" s="548" t="s">
        <v>687</v>
      </c>
      <c r="AM1" s="552"/>
      <c r="AN1" s="549"/>
    </row>
    <row r="2" spans="1:40" ht="12.75" thickBot="1">
      <c r="A2" s="2012" t="s">
        <v>271</v>
      </c>
      <c r="B2" s="2013"/>
      <c r="C2" s="2013"/>
      <c r="D2" s="2013"/>
      <c r="E2" s="2014"/>
      <c r="F2" s="2012" t="s">
        <v>1276</v>
      </c>
      <c r="G2" s="2015"/>
      <c r="H2" s="2015"/>
      <c r="I2" s="2013"/>
      <c r="J2" s="2014"/>
      <c r="K2" s="2006"/>
      <c r="L2" s="2007"/>
      <c r="M2" s="2007"/>
      <c r="N2" s="646"/>
      <c r="O2" s="646"/>
      <c r="P2" s="646"/>
      <c r="Q2" s="647"/>
      <c r="V2" s="541"/>
      <c r="W2" s="542"/>
      <c r="X2" s="542"/>
      <c r="Y2" s="542"/>
      <c r="Z2" s="540"/>
      <c r="AC2" s="2030" t="s">
        <v>1275</v>
      </c>
      <c r="AD2" s="2031"/>
      <c r="AE2" s="2032"/>
      <c r="AF2" s="2030" t="s">
        <v>1276</v>
      </c>
      <c r="AG2" s="2031"/>
      <c r="AH2" s="2031"/>
      <c r="AI2" s="868"/>
      <c r="AJ2" s="871"/>
      <c r="AL2" s="541" t="s">
        <v>688</v>
      </c>
      <c r="AM2" s="542"/>
      <c r="AN2" s="540"/>
    </row>
    <row r="3" spans="1:40" ht="13.5" customHeight="1" thickBot="1">
      <c r="A3" s="596"/>
      <c r="B3" s="2001" t="s">
        <v>29</v>
      </c>
      <c r="C3" s="2002"/>
      <c r="D3" s="2001" t="s">
        <v>9</v>
      </c>
      <c r="E3" s="2011"/>
      <c r="F3" s="596"/>
      <c r="G3" s="2003" t="s">
        <v>29</v>
      </c>
      <c r="H3" s="2002"/>
      <c r="I3" s="2001" t="s">
        <v>9</v>
      </c>
      <c r="J3" s="2011"/>
      <c r="K3" s="648"/>
      <c r="L3" s="2001" t="s">
        <v>521</v>
      </c>
      <c r="M3" s="2003"/>
      <c r="N3" s="2001" t="s">
        <v>522</v>
      </c>
      <c r="O3" s="2002"/>
      <c r="P3" s="2001" t="s">
        <v>520</v>
      </c>
      <c r="Q3" s="2011"/>
      <c r="R3" s="597"/>
      <c r="S3" s="597"/>
      <c r="T3" s="597"/>
      <c r="U3" s="597"/>
      <c r="V3" s="548"/>
      <c r="W3" s="1993" t="s">
        <v>549</v>
      </c>
      <c r="X3" s="1987" t="s">
        <v>485</v>
      </c>
      <c r="Y3" s="1989"/>
      <c r="Z3" s="549"/>
      <c r="AC3" s="878">
        <v>1</v>
      </c>
      <c r="AD3" s="848" t="s">
        <v>29</v>
      </c>
      <c r="AE3" s="849" t="s">
        <v>689</v>
      </c>
      <c r="AF3" s="714"/>
      <c r="AG3" s="848" t="s">
        <v>29</v>
      </c>
      <c r="AH3" s="879" t="s">
        <v>9</v>
      </c>
      <c r="AI3" s="868"/>
      <c r="AJ3" s="871"/>
      <c r="AL3" s="541">
        <v>2</v>
      </c>
      <c r="AM3" s="542"/>
      <c r="AN3" s="540"/>
    </row>
    <row r="4" spans="1:40" s="602" customFormat="1" ht="36.75" thickBot="1">
      <c r="A4" s="598"/>
      <c r="B4" s="577" t="s">
        <v>456</v>
      </c>
      <c r="C4" s="578" t="s">
        <v>390</v>
      </c>
      <c r="D4" s="577" t="s">
        <v>456</v>
      </c>
      <c r="E4" s="600" t="s">
        <v>390</v>
      </c>
      <c r="F4" s="598"/>
      <c r="G4" s="599" t="s">
        <v>456</v>
      </c>
      <c r="H4" s="578" t="s">
        <v>390</v>
      </c>
      <c r="I4" s="577" t="s">
        <v>456</v>
      </c>
      <c r="J4" s="600" t="s">
        <v>390</v>
      </c>
      <c r="K4" s="649"/>
      <c r="L4" s="577" t="s">
        <v>456</v>
      </c>
      <c r="M4" s="599" t="s">
        <v>390</v>
      </c>
      <c r="N4" s="650" t="s">
        <v>456</v>
      </c>
      <c r="O4" s="651" t="s">
        <v>390</v>
      </c>
      <c r="P4" s="650" t="s">
        <v>456</v>
      </c>
      <c r="Q4" s="652" t="s">
        <v>390</v>
      </c>
      <c r="R4" s="601"/>
      <c r="S4" s="601"/>
      <c r="T4" s="601"/>
      <c r="U4" s="601"/>
      <c r="V4" s="694"/>
      <c r="W4" s="1994"/>
      <c r="X4" s="692" t="s">
        <v>456</v>
      </c>
      <c r="Y4" s="693" t="s">
        <v>390</v>
      </c>
      <c r="Z4" s="695"/>
      <c r="AA4" s="835"/>
      <c r="AB4" s="835"/>
      <c r="AC4" s="2026"/>
      <c r="AD4" s="2027"/>
      <c r="AE4" s="2027"/>
      <c r="AF4" s="2027"/>
      <c r="AG4" s="2027"/>
      <c r="AH4" s="2027"/>
      <c r="AI4" s="880"/>
      <c r="AJ4" s="881"/>
      <c r="AL4" s="832"/>
      <c r="AM4" s="833"/>
      <c r="AN4" s="834"/>
    </row>
    <row r="5" spans="1:40" ht="12.75" thickBot="1">
      <c r="A5" s="1995" t="s">
        <v>465</v>
      </c>
      <c r="B5" s="1996"/>
      <c r="C5" s="1996"/>
      <c r="D5" s="1996"/>
      <c r="E5" s="1997"/>
      <c r="F5" s="1995" t="s">
        <v>486</v>
      </c>
      <c r="G5" s="1996"/>
      <c r="H5" s="1996"/>
      <c r="I5" s="1996"/>
      <c r="J5" s="1997"/>
      <c r="K5" s="2019" t="s">
        <v>492</v>
      </c>
      <c r="L5" s="2020"/>
      <c r="M5" s="2020"/>
      <c r="N5" s="653"/>
      <c r="O5" s="654"/>
      <c r="P5" s="653"/>
      <c r="Q5" s="655"/>
      <c r="R5" s="597"/>
      <c r="S5" s="597"/>
      <c r="T5" s="597"/>
      <c r="U5" s="597"/>
      <c r="V5" s="1990" t="s">
        <v>547</v>
      </c>
      <c r="W5" s="1991"/>
      <c r="X5" s="1991"/>
      <c r="Y5" s="1991"/>
      <c r="Z5" s="1992"/>
      <c r="AA5" s="756"/>
      <c r="AB5" s="756"/>
      <c r="AC5" s="2021" t="s">
        <v>690</v>
      </c>
      <c r="AD5" s="2022"/>
      <c r="AE5" s="2023"/>
      <c r="AF5" s="2024" t="s">
        <v>691</v>
      </c>
      <c r="AG5" s="2025"/>
      <c r="AH5" s="2025"/>
      <c r="AI5" s="843" t="s">
        <v>692</v>
      </c>
      <c r="AJ5" s="872" t="s">
        <v>29</v>
      </c>
      <c r="AL5" s="541"/>
      <c r="AM5" s="542"/>
      <c r="AN5" s="540"/>
    </row>
    <row r="6" spans="1:40" ht="12.75" thickBot="1">
      <c r="A6" s="604" t="s">
        <v>298</v>
      </c>
      <c r="B6" s="556">
        <f>Imo!F59</f>
        <v>1603540</v>
      </c>
      <c r="C6" s="559">
        <f>B6</f>
        <v>1603540</v>
      </c>
      <c r="D6" s="541">
        <f>Imo!D28</f>
        <v>1464120</v>
      </c>
      <c r="E6" s="572"/>
      <c r="F6" s="604" t="s">
        <v>274</v>
      </c>
      <c r="G6" s="542">
        <f>B!J24</f>
        <v>1438064</v>
      </c>
      <c r="H6" s="540">
        <f>G6</f>
        <v>1438064</v>
      </c>
      <c r="I6" s="539">
        <f>B!K24</f>
        <v>1056563</v>
      </c>
      <c r="J6" s="572"/>
      <c r="K6" s="2016" t="s">
        <v>530</v>
      </c>
      <c r="L6" s="2017"/>
      <c r="M6" s="2017"/>
      <c r="N6" s="2017"/>
      <c r="O6" s="2017"/>
      <c r="P6" s="2017"/>
      <c r="Q6" s="2018"/>
      <c r="R6" s="542"/>
      <c r="S6" s="542"/>
      <c r="T6" s="542"/>
      <c r="U6" s="542"/>
      <c r="V6" s="541"/>
      <c r="W6" s="542"/>
      <c r="X6" s="542"/>
      <c r="Y6" s="642" t="s">
        <v>1077</v>
      </c>
      <c r="Z6" s="641" t="s">
        <v>545</v>
      </c>
      <c r="AA6" s="836"/>
      <c r="AB6" s="836"/>
      <c r="AC6" s="824" t="str">
        <f>IF(A6=0,"",A6)</f>
        <v>Immobilisation brute</v>
      </c>
      <c r="AD6" s="859">
        <f>IF(AL6=1,G6,IF(AL6=2,H6))</f>
        <v>1438064</v>
      </c>
      <c r="AE6" s="854">
        <f>IF($AC$3=1,I6,J6)</f>
        <v>1056563</v>
      </c>
      <c r="AF6" s="713" t="str">
        <f>F6</f>
        <v>Capitaux </v>
      </c>
      <c r="AG6" s="853">
        <f>IF(AL6=1,G6,IF(AL6=2,H6))</f>
        <v>1438064</v>
      </c>
      <c r="AH6" s="851">
        <f>IF($AC$3=1,I6,IF($AC$3=2,J6))</f>
        <v>1056563</v>
      </c>
      <c r="AI6" s="541">
        <f aca="true" t="shared" si="0" ref="AI6:AI43">V6</f>
        <v>0</v>
      </c>
      <c r="AJ6" s="873"/>
      <c r="AL6" s="541">
        <f>AL3</f>
        <v>2</v>
      </c>
      <c r="AM6" s="542"/>
      <c r="AN6" s="540"/>
    </row>
    <row r="7" spans="1:40" ht="12">
      <c r="A7" s="604" t="s">
        <v>266</v>
      </c>
      <c r="B7" s="556">
        <f>B!D55</f>
        <v>16200</v>
      </c>
      <c r="C7" s="559">
        <f>B7</f>
        <v>16200</v>
      </c>
      <c r="D7" s="541">
        <f>B!E55</f>
        <v>12000</v>
      </c>
      <c r="E7" s="572"/>
      <c r="F7" s="604" t="s">
        <v>466</v>
      </c>
      <c r="G7" s="542">
        <f>-B!D5</f>
        <v>-40000</v>
      </c>
      <c r="H7" s="540">
        <f>G7</f>
        <v>-40000</v>
      </c>
      <c r="I7" s="541"/>
      <c r="J7" s="572"/>
      <c r="K7" s="656" t="s">
        <v>305</v>
      </c>
      <c r="L7" s="669">
        <f>G22</f>
        <v>3223124</v>
      </c>
      <c r="M7" s="670">
        <f>H22</f>
        <v>3273124</v>
      </c>
      <c r="N7" s="669">
        <f>I22</f>
        <v>2903463</v>
      </c>
      <c r="O7" s="670"/>
      <c r="P7" s="657"/>
      <c r="Q7" s="658"/>
      <c r="R7" s="542"/>
      <c r="S7" s="542"/>
      <c r="T7" s="542"/>
      <c r="U7" s="542"/>
      <c r="V7" s="603" t="s">
        <v>467</v>
      </c>
      <c r="W7" s="689"/>
      <c r="X7" s="689"/>
      <c r="Y7" s="542">
        <v>10000</v>
      </c>
      <c r="Z7" s="540"/>
      <c r="AC7" s="824" t="str">
        <f aca="true" t="shared" si="1" ref="AC7:AC43">IF(A7=0,"",A7)</f>
        <v>Charges à répartir</v>
      </c>
      <c r="AD7" s="604">
        <f>IF(AL7=1,G7,IF(AL7=2,H7))</f>
        <v>-40000</v>
      </c>
      <c r="AE7" s="844">
        <f>IF($AC$3=1,I7,J7)</f>
        <v>0</v>
      </c>
      <c r="AF7" s="605" t="str">
        <f aca="true" t="shared" si="2" ref="AF7:AF43">F7</f>
        <v>Capital non appelé</v>
      </c>
      <c r="AG7" s="749">
        <f>IF(AL7=1,G7,IF(AL7=2,H7))</f>
        <v>-40000</v>
      </c>
      <c r="AH7" s="541">
        <f>IF($AC$3=1,I7,IF($AC$3=2,J7))</f>
        <v>0</v>
      </c>
      <c r="AI7" s="541" t="str">
        <f t="shared" si="0"/>
        <v>Redevance au crédit bail</v>
      </c>
      <c r="AJ7" s="844">
        <f aca="true" t="shared" si="3" ref="AJ7:AJ43">IF(AL7=1,X7,IF(AL7=2,Y7))</f>
        <v>10000</v>
      </c>
      <c r="AL7" s="541">
        <f aca="true" t="shared" si="4" ref="AL7:AL43">AL6</f>
        <v>2</v>
      </c>
      <c r="AM7" s="542"/>
      <c r="AN7" s="540"/>
    </row>
    <row r="8" spans="1:40" ht="12">
      <c r="A8" s="604" t="s">
        <v>460</v>
      </c>
      <c r="B8" s="570"/>
      <c r="C8" s="559">
        <f>B!D83</f>
        <v>50000</v>
      </c>
      <c r="D8" s="541"/>
      <c r="E8" s="572"/>
      <c r="F8" s="634" t="s">
        <v>272</v>
      </c>
      <c r="G8" s="635">
        <f>SUM(G6:G7)</f>
        <v>1398064</v>
      </c>
      <c r="H8" s="636">
        <f>SUM(H6:H7)</f>
        <v>1398064</v>
      </c>
      <c r="I8" s="628">
        <f>SUM(I6:I7)</f>
        <v>1056563</v>
      </c>
      <c r="J8" s="630">
        <f>SUM(J6:J7)</f>
        <v>0</v>
      </c>
      <c r="K8" s="659" t="s">
        <v>524</v>
      </c>
      <c r="L8" s="671">
        <f>-B22</f>
        <v>-1619740</v>
      </c>
      <c r="M8" s="672">
        <f>-C22</f>
        <v>-1669740</v>
      </c>
      <c r="N8" s="671">
        <f>-D22</f>
        <v>-1476120</v>
      </c>
      <c r="O8" s="672"/>
      <c r="P8" s="657"/>
      <c r="Q8" s="658"/>
      <c r="R8" s="542"/>
      <c r="S8" s="542"/>
      <c r="T8" s="542"/>
      <c r="U8" s="542"/>
      <c r="V8" s="603" t="s">
        <v>468</v>
      </c>
      <c r="W8" s="689"/>
      <c r="X8" s="689"/>
      <c r="Y8" s="542">
        <v>50000</v>
      </c>
      <c r="Z8" s="540"/>
      <c r="AC8" s="825" t="str">
        <f t="shared" si="1"/>
        <v>Crédit Bail</v>
      </c>
      <c r="AD8" s="637">
        <f>SUM(AD6:AD7)</f>
        <v>1398064</v>
      </c>
      <c r="AE8" s="845">
        <f>SUM(AE6:AE7)</f>
        <v>1056563</v>
      </c>
      <c r="AF8" s="605" t="str">
        <f t="shared" si="2"/>
        <v>Capitaux propres</v>
      </c>
      <c r="AG8" s="855">
        <f>SUM(AG6:AG7)</f>
        <v>1398064</v>
      </c>
      <c r="AH8" s="855">
        <f>SUM(AH6:AH7)</f>
        <v>1056563</v>
      </c>
      <c r="AI8" s="541" t="str">
        <f t="shared" si="0"/>
        <v>Valeur neuve du crédit bail </v>
      </c>
      <c r="AJ8" s="844">
        <f t="shared" si="3"/>
        <v>50000</v>
      </c>
      <c r="AL8" s="541">
        <f t="shared" si="4"/>
        <v>2</v>
      </c>
      <c r="AM8" s="542"/>
      <c r="AN8" s="540"/>
    </row>
    <row r="9" spans="1:40" ht="12">
      <c r="A9" s="604"/>
      <c r="B9" s="556"/>
      <c r="C9" s="559"/>
      <c r="D9" s="541"/>
      <c r="E9" s="572"/>
      <c r="F9" s="606" t="s">
        <v>300</v>
      </c>
      <c r="G9" s="568"/>
      <c r="H9" s="566">
        <f>Y11</f>
        <v>8000</v>
      </c>
      <c r="I9" s="548"/>
      <c r="J9" s="574"/>
      <c r="K9" s="660" t="s">
        <v>459</v>
      </c>
      <c r="L9" s="673">
        <f>SUM(L7:L8)</f>
        <v>1603384</v>
      </c>
      <c r="M9" s="674">
        <f>SUM(M7:M8)</f>
        <v>1603384</v>
      </c>
      <c r="N9" s="673">
        <f>N7+N8</f>
        <v>1427343</v>
      </c>
      <c r="O9" s="674"/>
      <c r="P9" s="657">
        <f>L9-N9</f>
        <v>176041</v>
      </c>
      <c r="Q9" s="658"/>
      <c r="R9" s="542"/>
      <c r="S9" s="542"/>
      <c r="T9" s="542"/>
      <c r="U9" s="542"/>
      <c r="V9" s="603" t="s">
        <v>469</v>
      </c>
      <c r="W9" s="689"/>
      <c r="X9" s="689"/>
      <c r="Y9" s="542">
        <v>10000</v>
      </c>
      <c r="Z9" s="540"/>
      <c r="AC9" s="826">
        <f t="shared" si="1"/>
      </c>
      <c r="AD9" s="606">
        <f aca="true" t="shared" si="5" ref="AD9:AD14">IF(AL9=1,G9,IF(AL9=2,H9))</f>
        <v>8000</v>
      </c>
      <c r="AE9" s="856">
        <f aca="true" t="shared" si="6" ref="AE9:AE14">IF($AC$3=1,I9,J9)</f>
        <v>0</v>
      </c>
      <c r="AF9" s="605" t="str">
        <f t="shared" si="2"/>
        <v>Crédit bail</v>
      </c>
      <c r="AG9" s="838">
        <f aca="true" t="shared" si="7" ref="AG9:AG14">IF(AL9=1,G9,IF(AL9=2,H9))</f>
        <v>8000</v>
      </c>
      <c r="AH9" s="568">
        <f aca="true" t="shared" si="8" ref="AH9:AH14">IF($AC$3=1,I9,IF($AC$3=2,J9))</f>
        <v>0</v>
      </c>
      <c r="AI9" s="541" t="str">
        <f t="shared" si="0"/>
        <v>Valeur résiduel du crédit bail</v>
      </c>
      <c r="AJ9" s="844">
        <f t="shared" si="3"/>
        <v>10000</v>
      </c>
      <c r="AL9" s="541">
        <f t="shared" si="4"/>
        <v>2</v>
      </c>
      <c r="AM9" s="542"/>
      <c r="AN9" s="540"/>
    </row>
    <row r="10" spans="1:40" ht="12">
      <c r="A10" s="604"/>
      <c r="B10" s="556"/>
      <c r="C10" s="559"/>
      <c r="D10" s="541"/>
      <c r="E10" s="572"/>
      <c r="F10" s="604" t="s">
        <v>471</v>
      </c>
      <c r="G10" s="569">
        <f>B!C31</f>
        <v>478510</v>
      </c>
      <c r="H10" s="567">
        <f>G10</f>
        <v>478510</v>
      </c>
      <c r="I10" s="541"/>
      <c r="J10" s="572"/>
      <c r="K10" s="656"/>
      <c r="L10" s="673"/>
      <c r="M10" s="675"/>
      <c r="N10" s="673"/>
      <c r="O10" s="675"/>
      <c r="P10" s="657"/>
      <c r="Q10" s="658"/>
      <c r="R10" s="542"/>
      <c r="S10" s="542"/>
      <c r="T10" s="542"/>
      <c r="U10" s="542"/>
      <c r="V10" s="603" t="s">
        <v>470</v>
      </c>
      <c r="W10" s="689"/>
      <c r="X10" s="689"/>
      <c r="Y10" s="542">
        <v>5</v>
      </c>
      <c r="Z10" s="540"/>
      <c r="AC10" s="824">
        <f t="shared" si="1"/>
      </c>
      <c r="AD10" s="604">
        <f t="shared" si="5"/>
        <v>478510</v>
      </c>
      <c r="AE10" s="844">
        <f t="shared" si="6"/>
        <v>0</v>
      </c>
      <c r="AF10" s="605" t="str">
        <f t="shared" si="2"/>
        <v>Amm. &amp; Prov de l A Immo</v>
      </c>
      <c r="AG10" s="839">
        <f t="shared" si="7"/>
        <v>478510</v>
      </c>
      <c r="AH10" s="569">
        <f t="shared" si="8"/>
        <v>0</v>
      </c>
      <c r="AI10" s="541" t="str">
        <f t="shared" si="0"/>
        <v>durée en nombre d'année</v>
      </c>
      <c r="AJ10" s="844">
        <f t="shared" si="3"/>
        <v>5</v>
      </c>
      <c r="AL10" s="541">
        <f t="shared" si="4"/>
        <v>2</v>
      </c>
      <c r="AM10" s="542"/>
      <c r="AN10" s="540"/>
    </row>
    <row r="11" spans="1:40" ht="12">
      <c r="A11" s="604"/>
      <c r="B11" s="556"/>
      <c r="C11" s="559"/>
      <c r="D11" s="541"/>
      <c r="E11" s="572"/>
      <c r="F11" s="604" t="s">
        <v>472</v>
      </c>
      <c r="G11" s="569">
        <f>B!C54</f>
        <v>125000</v>
      </c>
      <c r="H11" s="567">
        <f>G11</f>
        <v>125000</v>
      </c>
      <c r="I11" s="541"/>
      <c r="J11" s="572"/>
      <c r="K11" s="656" t="s">
        <v>523</v>
      </c>
      <c r="L11" s="673">
        <f>B41</f>
        <v>4275588</v>
      </c>
      <c r="M11" s="675">
        <f>C41</f>
        <v>4288388</v>
      </c>
      <c r="N11" s="673">
        <f>D41</f>
        <v>3693076</v>
      </c>
      <c r="O11" s="675"/>
      <c r="P11" s="657"/>
      <c r="Q11" s="658"/>
      <c r="R11" s="542"/>
      <c r="S11" s="542"/>
      <c r="T11" s="542"/>
      <c r="U11" s="542"/>
      <c r="V11" s="541" t="s">
        <v>541</v>
      </c>
      <c r="W11" s="542"/>
      <c r="X11" s="542"/>
      <c r="Y11" s="542">
        <f>(Y8-Y9)/Y10</f>
        <v>8000</v>
      </c>
      <c r="Z11" s="540"/>
      <c r="AC11" s="824">
        <f t="shared" si="1"/>
      </c>
      <c r="AD11" s="604">
        <f t="shared" si="5"/>
        <v>125000</v>
      </c>
      <c r="AE11" s="844">
        <f t="shared" si="6"/>
        <v>0</v>
      </c>
      <c r="AF11" s="605" t="str">
        <f t="shared" si="2"/>
        <v>Amm &amp; Prov de l' A Circulant</v>
      </c>
      <c r="AG11" s="839">
        <f t="shared" si="7"/>
        <v>125000</v>
      </c>
      <c r="AH11" s="569">
        <f t="shared" si="8"/>
        <v>0</v>
      </c>
      <c r="AI11" s="541" t="str">
        <f t="shared" si="0"/>
        <v>Part équivalente de l'annuité de l'amortissement</v>
      </c>
      <c r="AJ11" s="844">
        <f t="shared" si="3"/>
        <v>8000</v>
      </c>
      <c r="AL11" s="541">
        <f t="shared" si="4"/>
        <v>2</v>
      </c>
      <c r="AM11" s="542"/>
      <c r="AN11" s="540"/>
    </row>
    <row r="12" spans="1:40" ht="12">
      <c r="A12" s="607"/>
      <c r="B12" s="556"/>
      <c r="C12" s="559"/>
      <c r="D12" s="541"/>
      <c r="E12" s="572"/>
      <c r="F12" s="604" t="s">
        <v>473</v>
      </c>
      <c r="G12" s="569"/>
      <c r="H12" s="567">
        <f>G12</f>
        <v>0</v>
      </c>
      <c r="I12" s="541">
        <f>Amort!E20</f>
        <v>433400</v>
      </c>
      <c r="J12" s="572"/>
      <c r="K12" s="659" t="s">
        <v>525</v>
      </c>
      <c r="L12" s="671">
        <f>-G41</f>
        <v>-2672204</v>
      </c>
      <c r="M12" s="672">
        <f>-H41</f>
        <v>-2685004</v>
      </c>
      <c r="N12" s="671">
        <f>-I41</f>
        <v>-2265733</v>
      </c>
      <c r="O12" s="672"/>
      <c r="P12" s="657"/>
      <c r="Q12" s="658"/>
      <c r="R12" s="542"/>
      <c r="S12" s="542"/>
      <c r="T12" s="542"/>
      <c r="U12" s="542"/>
      <c r="V12" s="541" t="s">
        <v>408</v>
      </c>
      <c r="W12" s="542"/>
      <c r="X12" s="542"/>
      <c r="Y12" s="542">
        <f>Y9-Y11</f>
        <v>2000</v>
      </c>
      <c r="Z12" s="540"/>
      <c r="AC12" s="824">
        <f t="shared" si="1"/>
      </c>
      <c r="AD12" s="604">
        <f t="shared" si="5"/>
        <v>0</v>
      </c>
      <c r="AE12" s="844">
        <f t="shared" si="6"/>
        <v>433400</v>
      </c>
      <c r="AF12" s="605" t="str">
        <f t="shared" si="2"/>
        <v>Σ des amm. exe. ini. ds Tbl Ammt</v>
      </c>
      <c r="AG12" s="839">
        <f t="shared" si="7"/>
        <v>0</v>
      </c>
      <c r="AH12" s="569">
        <f t="shared" si="8"/>
        <v>433400</v>
      </c>
      <c r="AI12" s="541" t="str">
        <f t="shared" si="0"/>
        <v>Part équivalente à la charge d'intérêt</v>
      </c>
      <c r="AJ12" s="844">
        <f t="shared" si="3"/>
        <v>2000</v>
      </c>
      <c r="AL12" s="541">
        <f t="shared" si="4"/>
        <v>2</v>
      </c>
      <c r="AM12" s="542"/>
      <c r="AN12" s="540"/>
    </row>
    <row r="13" spans="1:40" ht="12.75" thickBot="1">
      <c r="A13" s="604"/>
      <c r="B13" s="556"/>
      <c r="C13" s="559"/>
      <c r="D13" s="541"/>
      <c r="E13" s="572"/>
      <c r="F13" s="604" t="s">
        <v>476</v>
      </c>
      <c r="G13" s="569"/>
      <c r="H13" s="567">
        <f>G13</f>
        <v>0</v>
      </c>
      <c r="I13" s="541">
        <f>Prov!C33</f>
        <v>112000</v>
      </c>
      <c r="J13" s="572"/>
      <c r="K13" s="660" t="s">
        <v>526</v>
      </c>
      <c r="L13" s="676">
        <f>L11+L12</f>
        <v>1603384</v>
      </c>
      <c r="M13" s="677">
        <f>SUM(M11:M12)</f>
        <v>1603384</v>
      </c>
      <c r="N13" s="676">
        <f>SUM(N11:N12)</f>
        <v>1427343</v>
      </c>
      <c r="O13" s="677"/>
      <c r="P13" s="657">
        <f>L13-N13</f>
        <v>176041</v>
      </c>
      <c r="Q13" s="658"/>
      <c r="R13" s="542"/>
      <c r="S13" s="542"/>
      <c r="T13" s="542"/>
      <c r="U13" s="542"/>
      <c r="V13" s="541" t="s">
        <v>300</v>
      </c>
      <c r="W13" s="542"/>
      <c r="X13" s="542"/>
      <c r="Y13" s="542">
        <f>Y8-Y9+Y12</f>
        <v>42000</v>
      </c>
      <c r="Z13" s="540"/>
      <c r="AC13" s="824">
        <f t="shared" si="1"/>
      </c>
      <c r="AD13" s="604">
        <f t="shared" si="5"/>
        <v>0</v>
      </c>
      <c r="AE13" s="844">
        <f t="shared" si="6"/>
        <v>112000</v>
      </c>
      <c r="AF13" s="605" t="str">
        <f t="shared" si="2"/>
        <v>Prov pr dépréciation ds Tbl Prov</v>
      </c>
      <c r="AG13" s="839">
        <f t="shared" si="7"/>
        <v>0</v>
      </c>
      <c r="AH13" s="569">
        <f t="shared" si="8"/>
        <v>112000</v>
      </c>
      <c r="AI13" s="541" t="str">
        <f t="shared" si="0"/>
        <v>Crédit bail</v>
      </c>
      <c r="AJ13" s="844">
        <f t="shared" si="3"/>
        <v>42000</v>
      </c>
      <c r="AL13" s="541">
        <f t="shared" si="4"/>
        <v>2</v>
      </c>
      <c r="AM13" s="542"/>
      <c r="AN13" s="540"/>
    </row>
    <row r="14" spans="1:40" ht="12.75" thickBot="1">
      <c r="A14" s="604"/>
      <c r="B14" s="556"/>
      <c r="C14" s="559"/>
      <c r="D14" s="541"/>
      <c r="E14" s="572"/>
      <c r="F14" s="604" t="s">
        <v>475</v>
      </c>
      <c r="G14" s="553">
        <f>B!J26</f>
        <v>3000</v>
      </c>
      <c r="H14" s="554">
        <f>G14</f>
        <v>3000</v>
      </c>
      <c r="I14" s="541">
        <f>B!K26</f>
        <v>6600</v>
      </c>
      <c r="J14" s="572"/>
      <c r="K14" s="2016" t="s">
        <v>529</v>
      </c>
      <c r="L14" s="2017"/>
      <c r="M14" s="2017"/>
      <c r="N14" s="2017"/>
      <c r="O14" s="2017"/>
      <c r="P14" s="2017"/>
      <c r="Q14" s="2018"/>
      <c r="R14" s="542"/>
      <c r="S14" s="542"/>
      <c r="T14" s="542"/>
      <c r="U14" s="542"/>
      <c r="V14" s="541"/>
      <c r="W14" s="542"/>
      <c r="X14" s="542"/>
      <c r="Y14" s="542"/>
      <c r="Z14" s="540"/>
      <c r="AC14" s="824">
        <f t="shared" si="1"/>
      </c>
      <c r="AD14" s="604">
        <f t="shared" si="5"/>
        <v>3000</v>
      </c>
      <c r="AE14" s="844">
        <f t="shared" si="6"/>
        <v>6600</v>
      </c>
      <c r="AF14" s="605" t="str">
        <f t="shared" si="2"/>
        <v>Prov pr risque et charges</v>
      </c>
      <c r="AG14" s="840">
        <f t="shared" si="7"/>
        <v>3000</v>
      </c>
      <c r="AH14" s="553">
        <f t="shared" si="8"/>
        <v>6600</v>
      </c>
      <c r="AI14" s="541">
        <f t="shared" si="0"/>
        <v>0</v>
      </c>
      <c r="AJ14" s="844">
        <f t="shared" si="3"/>
        <v>0</v>
      </c>
      <c r="AL14" s="541">
        <f t="shared" si="4"/>
        <v>2</v>
      </c>
      <c r="AM14" s="542"/>
      <c r="AN14" s="540"/>
    </row>
    <row r="15" spans="1:40" ht="12">
      <c r="A15" s="604"/>
      <c r="B15" s="556"/>
      <c r="C15" s="559"/>
      <c r="D15" s="541"/>
      <c r="E15" s="572"/>
      <c r="F15" s="637" t="s">
        <v>474</v>
      </c>
      <c r="G15" s="629">
        <f>SUM(G9:G14)</f>
        <v>606510</v>
      </c>
      <c r="H15" s="631">
        <f>SUM(H9:H14)</f>
        <v>614510</v>
      </c>
      <c r="I15" s="628">
        <f>SUM(I12:I14)</f>
        <v>552000</v>
      </c>
      <c r="J15" s="630">
        <f>SUM(J12:J14)</f>
        <v>0</v>
      </c>
      <c r="K15" s="656" t="s">
        <v>538</v>
      </c>
      <c r="L15" s="673">
        <f>B31</f>
        <v>3997788</v>
      </c>
      <c r="M15" s="675">
        <f>C31</f>
        <v>4010588</v>
      </c>
      <c r="N15" s="673">
        <f>D31</f>
        <v>3506156</v>
      </c>
      <c r="O15" s="675"/>
      <c r="P15" s="657"/>
      <c r="Q15" s="658"/>
      <c r="R15" s="542"/>
      <c r="S15" s="542"/>
      <c r="T15" s="542"/>
      <c r="U15" s="542"/>
      <c r="V15" s="1990" t="s">
        <v>548</v>
      </c>
      <c r="W15" s="1991"/>
      <c r="X15" s="1991"/>
      <c r="Y15" s="1991"/>
      <c r="Z15" s="1992"/>
      <c r="AA15" s="756"/>
      <c r="AB15" s="756"/>
      <c r="AC15" s="825">
        <f t="shared" si="1"/>
      </c>
      <c r="AD15" s="637">
        <f>SUM(AD9:AD14)</f>
        <v>614510</v>
      </c>
      <c r="AE15" s="637">
        <f>SUM(AE9:AE14)</f>
        <v>552000</v>
      </c>
      <c r="AF15" s="605" t="str">
        <f t="shared" si="2"/>
        <v>Ammortissement &amp; Provision</v>
      </c>
      <c r="AG15" s="841">
        <f>SUM(AG9:AG14)</f>
        <v>614510</v>
      </c>
      <c r="AH15" s="841">
        <f>SUM(AH9:AH14)</f>
        <v>552000</v>
      </c>
      <c r="AI15" s="541" t="str">
        <f t="shared" si="0"/>
        <v>RATIOS STRUCTURELLES</v>
      </c>
      <c r="AJ15" s="874">
        <f t="shared" si="3"/>
        <v>0</v>
      </c>
      <c r="AL15" s="541">
        <f t="shared" si="4"/>
        <v>2</v>
      </c>
      <c r="AM15" s="542"/>
      <c r="AN15" s="540"/>
    </row>
    <row r="16" spans="1:40" ht="12">
      <c r="A16" s="604"/>
      <c r="B16" s="556"/>
      <c r="C16" s="559"/>
      <c r="D16" s="541"/>
      <c r="E16" s="572"/>
      <c r="F16" s="661" t="s">
        <v>477</v>
      </c>
      <c r="G16" s="552">
        <f>B!J37</f>
        <v>1325742</v>
      </c>
      <c r="H16" s="549">
        <f>G16</f>
        <v>1325742</v>
      </c>
      <c r="I16" s="542">
        <f>B!K37</f>
        <v>1405918</v>
      </c>
      <c r="J16" s="572"/>
      <c r="K16" s="656" t="s">
        <v>531</v>
      </c>
      <c r="L16" s="671">
        <f>B35</f>
        <v>14000</v>
      </c>
      <c r="M16" s="672">
        <f>C35</f>
        <v>14000</v>
      </c>
      <c r="N16" s="671">
        <f>D35</f>
        <v>40800</v>
      </c>
      <c r="O16" s="672"/>
      <c r="P16" s="657"/>
      <c r="Q16" s="658"/>
      <c r="R16" s="542"/>
      <c r="S16" s="542"/>
      <c r="T16" s="542"/>
      <c r="U16" s="542"/>
      <c r="V16" s="541" t="s">
        <v>305</v>
      </c>
      <c r="W16" s="542"/>
      <c r="X16" s="542">
        <f>G16</f>
        <v>1325742</v>
      </c>
      <c r="Y16" s="542">
        <f>H22</f>
        <v>3273124</v>
      </c>
      <c r="Z16" s="540">
        <f>I22</f>
        <v>2903463</v>
      </c>
      <c r="AC16" s="824">
        <f t="shared" si="1"/>
      </c>
      <c r="AD16" s="604">
        <f>IF(AL16=1,G16,IF(AL16=2,H16))</f>
        <v>1325742</v>
      </c>
      <c r="AE16" s="844">
        <f>IF($AC$3=1,I16,J16)</f>
        <v>1405918</v>
      </c>
      <c r="AF16" s="605" t="str">
        <f t="shared" si="2"/>
        <v>Emprunts et dettes fin (Bilan)</v>
      </c>
      <c r="AG16" s="745">
        <f>IF(AL16=1,G16,IF(AL16=2,H16))</f>
        <v>1325742</v>
      </c>
      <c r="AH16" s="548">
        <f>IF($AC$3=1,I16,IF($AC$3=2,J16))</f>
        <v>1405918</v>
      </c>
      <c r="AI16" s="541" t="str">
        <f t="shared" si="0"/>
        <v>Ressources stables</v>
      </c>
      <c r="AJ16" s="844">
        <f t="shared" si="3"/>
        <v>3273124</v>
      </c>
      <c r="AL16" s="541">
        <f t="shared" si="4"/>
        <v>2</v>
      </c>
      <c r="AM16" s="542"/>
      <c r="AN16" s="540"/>
    </row>
    <row r="17" spans="1:40" ht="12">
      <c r="A17" s="604"/>
      <c r="B17" s="556"/>
      <c r="C17" s="559"/>
      <c r="D17" s="541"/>
      <c r="E17" s="572"/>
      <c r="F17" s="661" t="s">
        <v>478</v>
      </c>
      <c r="G17" s="542">
        <f>-B!J73</f>
        <v>-86892</v>
      </c>
      <c r="H17" s="540">
        <f>G17</f>
        <v>-86892</v>
      </c>
      <c r="I17" s="542">
        <f>-B!K73</f>
        <v>-92918</v>
      </c>
      <c r="J17" s="572"/>
      <c r="K17" s="660" t="s">
        <v>523</v>
      </c>
      <c r="L17" s="678">
        <f>SUM(L15:L16)</f>
        <v>4011788</v>
      </c>
      <c r="M17" s="674">
        <f>SUM(M15:M16)</f>
        <v>4024588</v>
      </c>
      <c r="N17" s="678">
        <f>SUM(N15:N16)</f>
        <v>3546956</v>
      </c>
      <c r="O17" s="674"/>
      <c r="P17" s="657">
        <f>L17-N17</f>
        <v>464832</v>
      </c>
      <c r="Q17" s="658"/>
      <c r="R17" s="542"/>
      <c r="S17" s="542"/>
      <c r="T17" s="542"/>
      <c r="U17" s="542"/>
      <c r="V17" s="541" t="s">
        <v>544</v>
      </c>
      <c r="W17" s="542"/>
      <c r="X17" s="542">
        <f>B22</f>
        <v>1619740</v>
      </c>
      <c r="Y17" s="542">
        <f>C22</f>
        <v>1669740</v>
      </c>
      <c r="Z17" s="540">
        <f>D22</f>
        <v>1476120</v>
      </c>
      <c r="AC17" s="824">
        <f t="shared" si="1"/>
      </c>
      <c r="AD17" s="604">
        <f>IF(AL17=1,G17,IF(AL17=2,H17))</f>
        <v>-86892</v>
      </c>
      <c r="AE17" s="844">
        <f>IF($AC$3=1,I17,J17)</f>
        <v>-92918</v>
      </c>
      <c r="AF17" s="605" t="str">
        <f t="shared" si="2"/>
        <v>Intérêt courus ( Renvois/Pasf)</v>
      </c>
      <c r="AG17" s="749">
        <f>IF(AL17=1,G17,IF(AL17=2,H17))</f>
        <v>-86892</v>
      </c>
      <c r="AH17" s="541">
        <f>IF($AC$3=1,I17,IF($AC$3=2,J17))</f>
        <v>-92918</v>
      </c>
      <c r="AI17" s="541" t="str">
        <f t="shared" si="0"/>
        <v>Emplois Stable</v>
      </c>
      <c r="AJ17" s="844">
        <f t="shared" si="3"/>
        <v>1669740</v>
      </c>
      <c r="AL17" s="541">
        <f t="shared" si="4"/>
        <v>2</v>
      </c>
      <c r="AM17" s="542"/>
      <c r="AN17" s="540"/>
    </row>
    <row r="18" spans="1:40" ht="12">
      <c r="A18" s="604"/>
      <c r="B18" s="556"/>
      <c r="C18" s="559"/>
      <c r="D18" s="541"/>
      <c r="E18" s="572"/>
      <c r="F18" s="661" t="s">
        <v>289</v>
      </c>
      <c r="G18" s="542">
        <f>-B!J69</f>
        <v>-14500</v>
      </c>
      <c r="H18" s="540">
        <f>G18</f>
        <v>-14500</v>
      </c>
      <c r="I18" s="542">
        <f>-B!K69</f>
        <v>-11500</v>
      </c>
      <c r="J18" s="572"/>
      <c r="K18" s="656"/>
      <c r="L18" s="673"/>
      <c r="M18" s="675"/>
      <c r="N18" s="673"/>
      <c r="O18" s="675"/>
      <c r="P18" s="657"/>
      <c r="Q18" s="658"/>
      <c r="R18" s="542"/>
      <c r="S18" s="542"/>
      <c r="T18" s="542"/>
      <c r="U18" s="542"/>
      <c r="V18" s="541" t="s">
        <v>546</v>
      </c>
      <c r="W18" s="542"/>
      <c r="X18" s="542"/>
      <c r="Y18" s="542">
        <f>Y16/Y17</f>
        <v>1.9602596811479631</v>
      </c>
      <c r="Z18" s="540">
        <f>Z16/Z17</f>
        <v>1.966955938541582</v>
      </c>
      <c r="AC18" s="824">
        <f t="shared" si="1"/>
      </c>
      <c r="AD18" s="604">
        <f>IF(AL18=1,G18,IF(AL18=2,H18))</f>
        <v>-14500</v>
      </c>
      <c r="AE18" s="844">
        <f>IF($AC$3=1,I18,J18)</f>
        <v>-11500</v>
      </c>
      <c r="AF18" s="605" t="str">
        <f t="shared" si="2"/>
        <v>Concours banquaire</v>
      </c>
      <c r="AG18" s="749">
        <f>IF(AL18=1,G18,IF(AL18=2,H18))</f>
        <v>-14500</v>
      </c>
      <c r="AH18" s="541">
        <f>IF($AC$3=1,I18,IF($AC$3=2,J18))</f>
        <v>-11500</v>
      </c>
      <c r="AI18" s="541" t="str">
        <f t="shared" si="0"/>
        <v>Ratio de Financement des emplois stables</v>
      </c>
      <c r="AJ18" s="844">
        <f t="shared" si="3"/>
        <v>1.9602596811479631</v>
      </c>
      <c r="AL18" s="541">
        <f t="shared" si="4"/>
        <v>2</v>
      </c>
      <c r="AM18" s="542"/>
      <c r="AN18" s="540"/>
    </row>
    <row r="19" spans="1:40" ht="12">
      <c r="A19" s="604"/>
      <c r="B19" s="556"/>
      <c r="C19" s="559"/>
      <c r="D19" s="541"/>
      <c r="E19" s="572"/>
      <c r="F19" s="661" t="s">
        <v>479</v>
      </c>
      <c r="G19" s="542">
        <f>-Amort!H55</f>
        <v>-5800</v>
      </c>
      <c r="H19" s="540">
        <f>G19</f>
        <v>-5800</v>
      </c>
      <c r="I19" s="542">
        <f>-Amort!E55</f>
        <v>-6600</v>
      </c>
      <c r="J19" s="572"/>
      <c r="K19" s="656"/>
      <c r="L19" s="679"/>
      <c r="M19" s="680"/>
      <c r="N19" s="679"/>
      <c r="O19" s="680"/>
      <c r="P19" s="662"/>
      <c r="Q19" s="663"/>
      <c r="R19" s="542"/>
      <c r="S19" s="542"/>
      <c r="T19" s="542"/>
      <c r="U19" s="542"/>
      <c r="V19" s="541"/>
      <c r="W19" s="542"/>
      <c r="X19" s="542"/>
      <c r="Y19" s="542"/>
      <c r="Z19" s="540"/>
      <c r="AC19" s="824">
        <f t="shared" si="1"/>
      </c>
      <c r="AD19" s="604">
        <f>IF(AL19=1,G19,IF(AL19=2,H19))</f>
        <v>-5800</v>
      </c>
      <c r="AE19" s="844">
        <f>IF($AC$3=1,I19,J19)</f>
        <v>-6600</v>
      </c>
      <c r="AF19" s="605" t="str">
        <f t="shared" si="2"/>
        <v>Primes de remb. des obliga°</v>
      </c>
      <c r="AG19" s="749">
        <f>IF(AL19=1,G19,IF(AL19=2,H19))</f>
        <v>-5800</v>
      </c>
      <c r="AH19" s="541">
        <f>IF($AC$3=1,I19,IF($AC$3=2,J19))</f>
        <v>-6600</v>
      </c>
      <c r="AI19" s="541">
        <f t="shared" si="0"/>
        <v>0</v>
      </c>
      <c r="AJ19" s="844">
        <f t="shared" si="3"/>
        <v>0</v>
      </c>
      <c r="AL19" s="541">
        <f t="shared" si="4"/>
        <v>2</v>
      </c>
      <c r="AM19" s="542"/>
      <c r="AN19" s="540"/>
    </row>
    <row r="20" spans="1:40" ht="12">
      <c r="A20" s="604"/>
      <c r="B20" s="556"/>
      <c r="C20" s="559"/>
      <c r="D20" s="541"/>
      <c r="E20" s="572"/>
      <c r="F20" s="604" t="s">
        <v>300</v>
      </c>
      <c r="G20" s="551"/>
      <c r="H20" s="550">
        <f>Y13</f>
        <v>42000</v>
      </c>
      <c r="I20" s="542"/>
      <c r="J20" s="572"/>
      <c r="K20" s="656" t="s">
        <v>539</v>
      </c>
      <c r="L20" s="673">
        <f>G31</f>
        <v>2489045</v>
      </c>
      <c r="M20" s="675">
        <f>H31</f>
        <v>2489045</v>
      </c>
      <c r="N20" s="673">
        <f>I31</f>
        <v>2118443</v>
      </c>
      <c r="O20" s="675"/>
      <c r="P20" s="657"/>
      <c r="Q20" s="658"/>
      <c r="R20" s="542"/>
      <c r="S20" s="542"/>
      <c r="T20" s="542"/>
      <c r="U20" s="542"/>
      <c r="V20" s="541"/>
      <c r="W20" s="542"/>
      <c r="X20" s="542"/>
      <c r="Y20" s="542"/>
      <c r="Z20" s="540"/>
      <c r="AC20" s="824">
        <f t="shared" si="1"/>
      </c>
      <c r="AD20" s="604">
        <f>IF(AL20=1,G20,IF(AL20=2,H20))</f>
        <v>42000</v>
      </c>
      <c r="AE20" s="844">
        <f>IF($AC$3=1,I20,J20)</f>
        <v>0</v>
      </c>
      <c r="AF20" s="605" t="str">
        <f t="shared" si="2"/>
        <v>Crédit bail</v>
      </c>
      <c r="AG20" s="837">
        <f>IF(AL20=1,G20,IF(AL20=2,H20))</f>
        <v>42000</v>
      </c>
      <c r="AH20" s="615">
        <f>IF($AC$3=1,I20,IF($AC$3=2,J20))</f>
        <v>0</v>
      </c>
      <c r="AI20" s="541">
        <f t="shared" si="0"/>
        <v>0</v>
      </c>
      <c r="AJ20" s="844">
        <f t="shared" si="3"/>
        <v>0</v>
      </c>
      <c r="AL20" s="541">
        <f t="shared" si="4"/>
        <v>2</v>
      </c>
      <c r="AM20" s="542"/>
      <c r="AN20" s="540"/>
    </row>
    <row r="21" spans="1:40" ht="12">
      <c r="A21" s="604"/>
      <c r="B21" s="541"/>
      <c r="C21" s="540"/>
      <c r="D21" s="541"/>
      <c r="E21" s="572"/>
      <c r="F21" s="664" t="s">
        <v>273</v>
      </c>
      <c r="G21" s="638">
        <f>SUM(G16:G20)</f>
        <v>1218550</v>
      </c>
      <c r="H21" s="639">
        <f>SUM(H16:H20)</f>
        <v>1260550</v>
      </c>
      <c r="I21" s="628">
        <f>SUM(I16:I19)</f>
        <v>1294900</v>
      </c>
      <c r="J21" s="630">
        <f>SUM(J16:J20)</f>
        <v>0</v>
      </c>
      <c r="K21" s="656" t="s">
        <v>540</v>
      </c>
      <c r="L21" s="673">
        <f>G35</f>
        <v>168659</v>
      </c>
      <c r="M21" s="675">
        <f>H35</f>
        <v>168659</v>
      </c>
      <c r="N21" s="673">
        <f>I35</f>
        <v>135790</v>
      </c>
      <c r="O21" s="675"/>
      <c r="P21" s="657"/>
      <c r="Q21" s="658"/>
      <c r="R21" s="542"/>
      <c r="S21" s="542"/>
      <c r="T21" s="542"/>
      <c r="U21" s="542"/>
      <c r="V21" s="541" t="s">
        <v>299</v>
      </c>
      <c r="W21" s="542"/>
      <c r="X21" s="542">
        <f>G39</f>
        <v>14500</v>
      </c>
      <c r="Y21" s="542">
        <f>G39</f>
        <v>14500</v>
      </c>
      <c r="Z21" s="540">
        <f>I39</f>
        <v>11500</v>
      </c>
      <c r="AC21" s="825">
        <f t="shared" si="1"/>
      </c>
      <c r="AD21" s="637">
        <f>SUM(AD16:AD20)</f>
        <v>1260550</v>
      </c>
      <c r="AE21" s="845">
        <f>SUM(AE16:AE20)</f>
        <v>1294900</v>
      </c>
      <c r="AF21" s="605" t="str">
        <f t="shared" si="2"/>
        <v>Dettes financières</v>
      </c>
      <c r="AG21" s="857">
        <f>SUM(AG16:AG20)</f>
        <v>1260550</v>
      </c>
      <c r="AH21" s="857">
        <f>SUM(AH16:AH20)</f>
        <v>1294900</v>
      </c>
      <c r="AI21" s="541" t="str">
        <f t="shared" si="0"/>
        <v>Trésorerie active</v>
      </c>
      <c r="AJ21" s="844">
        <f t="shared" si="3"/>
        <v>14500</v>
      </c>
      <c r="AL21" s="541">
        <f t="shared" si="4"/>
        <v>2</v>
      </c>
      <c r="AM21" s="542"/>
      <c r="AN21" s="540"/>
    </row>
    <row r="22" spans="1:40" ht="12.75" thickBot="1">
      <c r="A22" s="608" t="s">
        <v>389</v>
      </c>
      <c r="B22" s="561">
        <f>SUM(B6:B21)</f>
        <v>1619740</v>
      </c>
      <c r="C22" s="562">
        <f>SUM(C6:C21)</f>
        <v>1669740</v>
      </c>
      <c r="D22" s="561">
        <f>SUM(D6:D8)</f>
        <v>1476120</v>
      </c>
      <c r="E22" s="576">
        <f>SUM(E6:E8)</f>
        <v>0</v>
      </c>
      <c r="F22" s="609" t="s">
        <v>305</v>
      </c>
      <c r="G22" s="565">
        <f>G21+G15+G8</f>
        <v>3223124</v>
      </c>
      <c r="H22" s="564">
        <f>H21+H15+H8</f>
        <v>3273124</v>
      </c>
      <c r="I22" s="563">
        <f>I21+I15+I8</f>
        <v>2903463</v>
      </c>
      <c r="J22" s="575">
        <f>J21+J15+J8</f>
        <v>0</v>
      </c>
      <c r="K22" s="605"/>
      <c r="L22" s="681"/>
      <c r="M22" s="682"/>
      <c r="N22" s="681"/>
      <c r="O22" s="682"/>
      <c r="P22" s="657"/>
      <c r="Q22" s="658"/>
      <c r="R22" s="542"/>
      <c r="S22" s="542"/>
      <c r="T22" s="542"/>
      <c r="U22" s="542"/>
      <c r="V22" s="541"/>
      <c r="W22" s="542"/>
      <c r="X22" s="542"/>
      <c r="Y22" s="542"/>
      <c r="Z22" s="540"/>
      <c r="AC22" s="827" t="str">
        <f t="shared" si="1"/>
        <v>Emploi stable</v>
      </c>
      <c r="AD22" s="609">
        <f>AD21+AD15+AD8</f>
        <v>3273124</v>
      </c>
      <c r="AE22" s="846">
        <f>AE21+AE15+AE8</f>
        <v>2903463</v>
      </c>
      <c r="AF22" s="605" t="str">
        <f t="shared" si="2"/>
        <v>Ressources stables</v>
      </c>
      <c r="AG22" s="858">
        <f>IF(AL22=1,G22,IF(AL22=2,H22))</f>
        <v>3273124</v>
      </c>
      <c r="AH22" s="866">
        <f>IF($AC$3=1,I22,IF($AC$3=2,J22))</f>
        <v>2903463</v>
      </c>
      <c r="AI22" s="541">
        <f t="shared" si="0"/>
        <v>0</v>
      </c>
      <c r="AJ22" s="844">
        <f t="shared" si="3"/>
        <v>0</v>
      </c>
      <c r="AL22" s="541">
        <f t="shared" si="4"/>
        <v>2</v>
      </c>
      <c r="AM22" s="542"/>
      <c r="AN22" s="540"/>
    </row>
    <row r="23" spans="1:40" ht="12.75" thickBot="1">
      <c r="A23" s="1995" t="s">
        <v>464</v>
      </c>
      <c r="B23" s="1996"/>
      <c r="C23" s="1996"/>
      <c r="D23" s="1996"/>
      <c r="E23" s="1997"/>
      <c r="F23" s="1998" t="s">
        <v>482</v>
      </c>
      <c r="G23" s="1999"/>
      <c r="H23" s="1999"/>
      <c r="I23" s="1999"/>
      <c r="J23" s="2000"/>
      <c r="K23" s="643" t="s">
        <v>527</v>
      </c>
      <c r="L23" s="683">
        <f>-SUM(L20:L21)</f>
        <v>-2657704</v>
      </c>
      <c r="M23" s="684">
        <f>-SUM(M20:M22)</f>
        <v>-2657704</v>
      </c>
      <c r="N23" s="683">
        <f>-SUM(N20:N21)</f>
        <v>-2254233</v>
      </c>
      <c r="O23" s="684"/>
      <c r="P23" s="657">
        <f>L23-N23</f>
        <v>-403471</v>
      </c>
      <c r="Q23" s="658"/>
      <c r="R23" s="542"/>
      <c r="S23" s="542"/>
      <c r="T23" s="542"/>
      <c r="U23" s="542"/>
      <c r="V23" s="541" t="s">
        <v>581</v>
      </c>
      <c r="W23" s="542"/>
      <c r="X23" s="542"/>
      <c r="Y23" s="542"/>
      <c r="Z23" s="540"/>
      <c r="AC23" s="828" t="str">
        <f t="shared" si="1"/>
        <v>ACTIF CIRCULANTS</v>
      </c>
      <c r="AD23" s="828"/>
      <c r="AE23" s="829"/>
      <c r="AF23" s="850" t="str">
        <f t="shared" si="2"/>
        <v>PASSIF CIRCULANTS</v>
      </c>
      <c r="AG23" s="863"/>
      <c r="AH23" s="867"/>
      <c r="AI23" s="541" t="str">
        <f t="shared" si="0"/>
        <v>Endettement :</v>
      </c>
      <c r="AJ23" s="844">
        <f t="shared" si="3"/>
        <v>0</v>
      </c>
      <c r="AL23" s="541">
        <f t="shared" si="4"/>
        <v>2</v>
      </c>
      <c r="AM23" s="542"/>
      <c r="AN23" s="540"/>
    </row>
    <row r="24" spans="1:40" ht="12">
      <c r="A24" s="610" t="s">
        <v>463</v>
      </c>
      <c r="B24" s="555">
        <f>B!B40</f>
        <v>1703880</v>
      </c>
      <c r="C24" s="558">
        <f>B24</f>
        <v>1703880</v>
      </c>
      <c r="D24" s="548">
        <f>B!E40</f>
        <v>1626135</v>
      </c>
      <c r="E24" s="574"/>
      <c r="F24" s="605"/>
      <c r="G24" s="541"/>
      <c r="H24" s="540"/>
      <c r="I24" s="542"/>
      <c r="J24" s="572"/>
      <c r="K24" s="605"/>
      <c r="L24" s="681"/>
      <c r="M24" s="682"/>
      <c r="N24" s="681"/>
      <c r="O24" s="682"/>
      <c r="P24" s="657"/>
      <c r="Q24" s="658"/>
      <c r="R24" s="542"/>
      <c r="S24" s="542"/>
      <c r="T24" s="542"/>
      <c r="U24" s="542"/>
      <c r="V24" s="541" t="s">
        <v>273</v>
      </c>
      <c r="W24" s="542"/>
      <c r="X24" s="542">
        <f>G21</f>
        <v>1218550</v>
      </c>
      <c r="Y24" s="542">
        <f>H21</f>
        <v>1260550</v>
      </c>
      <c r="Z24" s="540">
        <f>I21</f>
        <v>1294900</v>
      </c>
      <c r="AC24" s="824" t="str">
        <f t="shared" si="1"/>
        <v>Total des stocks et encours</v>
      </c>
      <c r="AD24" s="604">
        <f aca="true" t="shared" si="9" ref="AD24:AD30">IF(AL24=1,G24,IF(AL24=2,H24))</f>
        <v>0</v>
      </c>
      <c r="AE24" s="844">
        <f aca="true" t="shared" si="10" ref="AE24:AE30">IF($AC$3=1,I24,J24)</f>
        <v>0</v>
      </c>
      <c r="AF24" s="605">
        <f t="shared" si="2"/>
        <v>0</v>
      </c>
      <c r="AG24" s="749">
        <f aca="true" t="shared" si="11" ref="AG24:AG30">IF(AL24=1,G24,IF(AL24=2,H24))</f>
        <v>0</v>
      </c>
      <c r="AH24" s="541">
        <f aca="true" t="shared" si="12" ref="AH24:AH30">IF($AC$3=1,I24,IF($AC$3=2,J24))</f>
        <v>0</v>
      </c>
      <c r="AI24" s="541" t="str">
        <f t="shared" si="0"/>
        <v>Dettes financières</v>
      </c>
      <c r="AJ24" s="844">
        <f t="shared" si="3"/>
        <v>1260550</v>
      </c>
      <c r="AL24" s="541">
        <f t="shared" si="4"/>
        <v>2</v>
      </c>
      <c r="AM24" s="542"/>
      <c r="AN24" s="540"/>
    </row>
    <row r="25" spans="1:40" ht="12.75" thickBot="1">
      <c r="A25" s="605"/>
      <c r="B25" s="556"/>
      <c r="C25" s="559"/>
      <c r="D25" s="541"/>
      <c r="E25" s="572"/>
      <c r="F25" s="605"/>
      <c r="G25" s="541"/>
      <c r="H25" s="540"/>
      <c r="I25" s="542"/>
      <c r="J25" s="572"/>
      <c r="K25" s="660" t="s">
        <v>528</v>
      </c>
      <c r="L25" s="676">
        <f>L17+L23</f>
        <v>1354084</v>
      </c>
      <c r="M25" s="677">
        <f>M17+M23</f>
        <v>1366884</v>
      </c>
      <c r="N25" s="676">
        <f>N17+N23</f>
        <v>1292723</v>
      </c>
      <c r="O25" s="677"/>
      <c r="P25" s="657">
        <f>L25-N25</f>
        <v>61361</v>
      </c>
      <c r="Q25" s="658"/>
      <c r="R25" s="542"/>
      <c r="S25" s="542"/>
      <c r="T25" s="542"/>
      <c r="U25" s="542"/>
      <c r="V25" s="541" t="s">
        <v>585</v>
      </c>
      <c r="W25" s="542"/>
      <c r="X25" s="542">
        <f>G37</f>
        <v>14500</v>
      </c>
      <c r="Y25" s="542">
        <f>H37</f>
        <v>14500</v>
      </c>
      <c r="Z25" s="540">
        <f>I37</f>
        <v>11500</v>
      </c>
      <c r="AC25" s="824">
        <f t="shared" si="1"/>
      </c>
      <c r="AD25" s="604">
        <f t="shared" si="9"/>
        <v>0</v>
      </c>
      <c r="AE25" s="844">
        <f t="shared" si="10"/>
        <v>0</v>
      </c>
      <c r="AF25" s="605">
        <f t="shared" si="2"/>
        <v>0</v>
      </c>
      <c r="AG25" s="749">
        <f t="shared" si="11"/>
        <v>0</v>
      </c>
      <c r="AH25" s="541">
        <f t="shared" si="12"/>
        <v>0</v>
      </c>
      <c r="AI25" s="541" t="str">
        <f t="shared" si="0"/>
        <v>Trésorerie passives</v>
      </c>
      <c r="AJ25" s="844">
        <f t="shared" si="3"/>
        <v>14500</v>
      </c>
      <c r="AL25" s="541">
        <f t="shared" si="4"/>
        <v>2</v>
      </c>
      <c r="AM25" s="542"/>
      <c r="AN25" s="540"/>
    </row>
    <row r="26" spans="1:40" ht="12.75" thickBot="1">
      <c r="A26" s="605" t="s">
        <v>461</v>
      </c>
      <c r="B26" s="556">
        <f>B!B44</f>
        <v>2289600</v>
      </c>
      <c r="C26" s="559">
        <f>B26</f>
        <v>2289600</v>
      </c>
      <c r="D26" s="541">
        <f>B!E44</f>
        <v>1770021</v>
      </c>
      <c r="E26" s="572"/>
      <c r="F26" s="605"/>
      <c r="G26" s="541"/>
      <c r="H26" s="540"/>
      <c r="I26" s="542"/>
      <c r="J26" s="572"/>
      <c r="K26" s="2016" t="s">
        <v>533</v>
      </c>
      <c r="L26" s="2017"/>
      <c r="M26" s="2017"/>
      <c r="N26" s="2017"/>
      <c r="O26" s="2017"/>
      <c r="P26" s="2017"/>
      <c r="Q26" s="2018"/>
      <c r="R26" s="542"/>
      <c r="S26" s="542"/>
      <c r="T26" s="542"/>
      <c r="U26" s="542"/>
      <c r="V26" s="699" t="s">
        <v>584</v>
      </c>
      <c r="W26" s="700"/>
      <c r="X26" s="700">
        <f>SUM(X24:X25)</f>
        <v>1233050</v>
      </c>
      <c r="Y26" s="700">
        <f>SUM(Y24:Y25)</f>
        <v>1275050</v>
      </c>
      <c r="Z26" s="701">
        <f>SUM(Z24:Z25)</f>
        <v>1306400</v>
      </c>
      <c r="AA26" s="662"/>
      <c r="AB26" s="662"/>
      <c r="AC26" s="824" t="str">
        <f t="shared" si="1"/>
        <v>Comptes client et ratachés</v>
      </c>
      <c r="AD26" s="604">
        <f t="shared" si="9"/>
        <v>0</v>
      </c>
      <c r="AE26" s="844">
        <f t="shared" si="10"/>
        <v>0</v>
      </c>
      <c r="AF26" s="605">
        <f t="shared" si="2"/>
        <v>0</v>
      </c>
      <c r="AG26" s="749">
        <f t="shared" si="11"/>
        <v>0</v>
      </c>
      <c r="AH26" s="541">
        <f t="shared" si="12"/>
        <v>0</v>
      </c>
      <c r="AI26" s="541" t="str">
        <f t="shared" si="0"/>
        <v>Endettement financier</v>
      </c>
      <c r="AJ26" s="875">
        <f t="shared" si="3"/>
        <v>1275050</v>
      </c>
      <c r="AL26" s="541">
        <f t="shared" si="4"/>
        <v>2</v>
      </c>
      <c r="AM26" s="542"/>
      <c r="AN26" s="540"/>
    </row>
    <row r="27" spans="1:40" ht="12">
      <c r="A27" s="605" t="s">
        <v>267</v>
      </c>
      <c r="B27" s="556"/>
      <c r="C27" s="559"/>
      <c r="D27" s="541">
        <v>110000</v>
      </c>
      <c r="E27" s="572"/>
      <c r="F27" s="665" t="s">
        <v>132</v>
      </c>
      <c r="G27" s="541">
        <f>B!J39</f>
        <v>255300</v>
      </c>
      <c r="H27" s="540">
        <f>G27</f>
        <v>255300</v>
      </c>
      <c r="I27" s="542">
        <f>B!K39</f>
        <v>194600</v>
      </c>
      <c r="J27" s="572"/>
      <c r="K27" s="656" t="s">
        <v>542</v>
      </c>
      <c r="L27" s="669">
        <f>B31</f>
        <v>3997788</v>
      </c>
      <c r="M27" s="670">
        <f>C31</f>
        <v>4010588</v>
      </c>
      <c r="N27" s="669"/>
      <c r="O27" s="670"/>
      <c r="P27" s="657"/>
      <c r="Q27" s="658"/>
      <c r="R27" s="542"/>
      <c r="S27" s="542"/>
      <c r="T27" s="542"/>
      <c r="U27" s="542"/>
      <c r="V27" s="541" t="s">
        <v>272</v>
      </c>
      <c r="W27" s="542"/>
      <c r="X27" s="542"/>
      <c r="Y27" s="542">
        <f>H6</f>
        <v>1438064</v>
      </c>
      <c r="Z27" s="540">
        <f>I6</f>
        <v>1056563</v>
      </c>
      <c r="AC27" s="824" t="str">
        <f t="shared" si="1"/>
        <v>Provision</v>
      </c>
      <c r="AD27" s="604">
        <f t="shared" si="9"/>
        <v>255300</v>
      </c>
      <c r="AE27" s="844">
        <f t="shared" si="10"/>
        <v>194600</v>
      </c>
      <c r="AF27" s="605" t="str">
        <f t="shared" si="2"/>
        <v>Avance et acomptes</v>
      </c>
      <c r="AG27" s="749">
        <f t="shared" si="11"/>
        <v>255300</v>
      </c>
      <c r="AH27" s="541">
        <f t="shared" si="12"/>
        <v>194600</v>
      </c>
      <c r="AI27" s="541" t="str">
        <f t="shared" si="0"/>
        <v>Capitaux propres</v>
      </c>
      <c r="AJ27" s="844">
        <f t="shared" si="3"/>
        <v>1438064</v>
      </c>
      <c r="AL27" s="541">
        <f t="shared" si="4"/>
        <v>2</v>
      </c>
      <c r="AM27" s="542"/>
      <c r="AN27" s="540"/>
    </row>
    <row r="28" spans="1:40" ht="12">
      <c r="A28" s="605" t="s">
        <v>269</v>
      </c>
      <c r="B28" s="556">
        <f>-B!J56</f>
        <v>-500</v>
      </c>
      <c r="C28" s="559">
        <f>B28</f>
        <v>-500</v>
      </c>
      <c r="D28" s="541"/>
      <c r="E28" s="572"/>
      <c r="F28" s="665" t="s">
        <v>480</v>
      </c>
      <c r="G28" s="541">
        <f>B!J40</f>
        <v>1824200</v>
      </c>
      <c r="H28" s="540">
        <f>G28</f>
        <v>1824200</v>
      </c>
      <c r="I28" s="542">
        <f>B!K40</f>
        <v>1644500</v>
      </c>
      <c r="J28" s="572"/>
      <c r="K28" s="656" t="s">
        <v>532</v>
      </c>
      <c r="L28" s="671">
        <f>-G31</f>
        <v>-2489045</v>
      </c>
      <c r="M28" s="672">
        <f>-H31</f>
        <v>-2489045</v>
      </c>
      <c r="N28" s="671"/>
      <c r="O28" s="672"/>
      <c r="P28" s="657"/>
      <c r="Q28" s="658"/>
      <c r="R28" s="542"/>
      <c r="S28" s="542"/>
      <c r="T28" s="542"/>
      <c r="U28" s="542"/>
      <c r="V28" s="541" t="s">
        <v>586</v>
      </c>
      <c r="W28" s="542"/>
      <c r="X28" s="542"/>
      <c r="Y28" s="542">
        <f>H15</f>
        <v>614510</v>
      </c>
      <c r="Z28" s="540">
        <f>I15</f>
        <v>552000</v>
      </c>
      <c r="AC28" s="824" t="str">
        <f t="shared" si="1"/>
        <v>Ecart de conversion</v>
      </c>
      <c r="AD28" s="604">
        <f t="shared" si="9"/>
        <v>1824200</v>
      </c>
      <c r="AE28" s="844">
        <f t="shared" si="10"/>
        <v>1644500</v>
      </c>
      <c r="AF28" s="605" t="str">
        <f t="shared" si="2"/>
        <v>Dettes frs et cptes ratachées</v>
      </c>
      <c r="AG28" s="749">
        <f t="shared" si="11"/>
        <v>1824200</v>
      </c>
      <c r="AH28" s="541">
        <f t="shared" si="12"/>
        <v>1644500</v>
      </c>
      <c r="AI28" s="541" t="str">
        <f t="shared" si="0"/>
        <v>Dotation et provision</v>
      </c>
      <c r="AJ28" s="844">
        <f t="shared" si="3"/>
        <v>614510</v>
      </c>
      <c r="AL28" s="541">
        <f t="shared" si="4"/>
        <v>2</v>
      </c>
      <c r="AM28" s="542"/>
      <c r="AN28" s="540"/>
    </row>
    <row r="29" spans="1:40" ht="12">
      <c r="A29" s="605" t="s">
        <v>462</v>
      </c>
      <c r="B29" s="556"/>
      <c r="C29" s="559">
        <f>B!D84</f>
        <v>12800</v>
      </c>
      <c r="D29" s="541"/>
      <c r="E29" s="572"/>
      <c r="F29" s="665" t="s">
        <v>296</v>
      </c>
      <c r="G29" s="541">
        <f>B!J43</f>
        <v>491312</v>
      </c>
      <c r="H29" s="540">
        <f>G29</f>
        <v>491312</v>
      </c>
      <c r="I29" s="542">
        <f>B!K43</f>
        <v>322215</v>
      </c>
      <c r="J29" s="572"/>
      <c r="K29" s="656"/>
      <c r="L29" s="673">
        <f>SUM(L27:L28)</f>
        <v>1508743</v>
      </c>
      <c r="M29" s="675">
        <f>SUM(M27:M28)</f>
        <v>1521543</v>
      </c>
      <c r="N29" s="673"/>
      <c r="O29" s="675"/>
      <c r="P29" s="657">
        <f>L29-N29</f>
        <v>1508743</v>
      </c>
      <c r="Q29" s="658"/>
      <c r="R29" s="542"/>
      <c r="S29" s="542"/>
      <c r="T29" s="542"/>
      <c r="U29" s="542"/>
      <c r="V29" s="699" t="s">
        <v>587</v>
      </c>
      <c r="W29" s="700"/>
      <c r="X29" s="700"/>
      <c r="Y29" s="700">
        <f>Y27+Y28</f>
        <v>2052574</v>
      </c>
      <c r="Z29" s="701">
        <f>Z27+Z28</f>
        <v>1608563</v>
      </c>
      <c r="AA29" s="662"/>
      <c r="AB29" s="662"/>
      <c r="AC29" s="824" t="str">
        <f t="shared" si="1"/>
        <v>Effet de com. escompté non échus</v>
      </c>
      <c r="AD29" s="604">
        <f t="shared" si="9"/>
        <v>491312</v>
      </c>
      <c r="AE29" s="844">
        <f t="shared" si="10"/>
        <v>322215</v>
      </c>
      <c r="AF29" s="605" t="str">
        <f t="shared" si="2"/>
        <v>Dettes fiscales et sociales</v>
      </c>
      <c r="AG29" s="749">
        <f t="shared" si="11"/>
        <v>491312</v>
      </c>
      <c r="AH29" s="541">
        <f t="shared" si="12"/>
        <v>322215</v>
      </c>
      <c r="AI29" s="541" t="str">
        <f t="shared" si="0"/>
        <v>Ressources Propres</v>
      </c>
      <c r="AJ29" s="875">
        <f t="shared" si="3"/>
        <v>2052574</v>
      </c>
      <c r="AL29" s="541">
        <f t="shared" si="4"/>
        <v>2</v>
      </c>
      <c r="AM29" s="542"/>
      <c r="AN29" s="540"/>
    </row>
    <row r="30" spans="1:40" ht="12.75" thickBot="1">
      <c r="A30" s="605" t="s">
        <v>221</v>
      </c>
      <c r="B30" s="556">
        <f>B!D45</f>
        <v>4808</v>
      </c>
      <c r="C30" s="559">
        <f>B30</f>
        <v>4808</v>
      </c>
      <c r="D30" s="541"/>
      <c r="E30" s="611"/>
      <c r="F30" s="665" t="s">
        <v>133</v>
      </c>
      <c r="G30" s="541">
        <f>-B!J41</f>
        <v>-81767</v>
      </c>
      <c r="H30" s="540">
        <f>G30</f>
        <v>-81767</v>
      </c>
      <c r="I30" s="542">
        <f>-B!K41</f>
        <v>-42872</v>
      </c>
      <c r="J30" s="572"/>
      <c r="K30" s="656"/>
      <c r="L30" s="676"/>
      <c r="M30" s="677"/>
      <c r="N30" s="676"/>
      <c r="O30" s="677"/>
      <c r="P30" s="657"/>
      <c r="Q30" s="658"/>
      <c r="R30" s="542"/>
      <c r="S30" s="542"/>
      <c r="T30" s="542"/>
      <c r="U30" s="542"/>
      <c r="V30" s="541" t="s">
        <v>588</v>
      </c>
      <c r="W30" s="542"/>
      <c r="X30" s="542"/>
      <c r="Y30" s="542">
        <f>Y26/Y29</f>
        <v>0.6211956304620443</v>
      </c>
      <c r="Z30" s="540">
        <f>Z26/Z29</f>
        <v>0.8121534562214846</v>
      </c>
      <c r="AC30" s="824" t="str">
        <f t="shared" si="1"/>
        <v>Autres créances</v>
      </c>
      <c r="AD30" s="604">
        <f t="shared" si="9"/>
        <v>-81767</v>
      </c>
      <c r="AE30" s="844">
        <f t="shared" si="10"/>
        <v>-42872</v>
      </c>
      <c r="AF30" s="605" t="str">
        <f t="shared" si="2"/>
        <v>Impots sur les sociétés</v>
      </c>
      <c r="AG30" s="749">
        <f t="shared" si="11"/>
        <v>-81767</v>
      </c>
      <c r="AH30" s="541">
        <f t="shared" si="12"/>
        <v>-42872</v>
      </c>
      <c r="AI30" s="541" t="str">
        <f t="shared" si="0"/>
        <v>Taux d'endettement financier</v>
      </c>
      <c r="AJ30" s="844">
        <f t="shared" si="3"/>
        <v>0.6211956304620443</v>
      </c>
      <c r="AL30" s="541">
        <f t="shared" si="4"/>
        <v>2</v>
      </c>
      <c r="AM30" s="542"/>
      <c r="AN30" s="540"/>
    </row>
    <row r="31" spans="1:40" ht="12.75" thickBot="1">
      <c r="A31" s="625" t="s">
        <v>656</v>
      </c>
      <c r="B31" s="626">
        <f>SUM(B23:B30)</f>
        <v>3997788</v>
      </c>
      <c r="C31" s="627">
        <f>SUM(C24:C30)</f>
        <v>4010588</v>
      </c>
      <c r="D31" s="628">
        <f>SUM(D24:D30)</f>
        <v>3506156</v>
      </c>
      <c r="E31" s="630"/>
      <c r="F31" s="666" t="s">
        <v>655</v>
      </c>
      <c r="G31" s="628">
        <f>SUM(G27:G30)</f>
        <v>2489045</v>
      </c>
      <c r="H31" s="631">
        <f>SUM(H27:H30)</f>
        <v>2489045</v>
      </c>
      <c r="I31" s="629">
        <f>SUM(I27:I30)</f>
        <v>2118443</v>
      </c>
      <c r="J31" s="630">
        <f>SUM(J27:J30)</f>
        <v>0</v>
      </c>
      <c r="K31" s="2016" t="s">
        <v>534</v>
      </c>
      <c r="L31" s="2017"/>
      <c r="M31" s="2017"/>
      <c r="N31" s="2017"/>
      <c r="O31" s="2017"/>
      <c r="P31" s="2017"/>
      <c r="Q31" s="2018"/>
      <c r="V31" s="1990" t="s">
        <v>590</v>
      </c>
      <c r="W31" s="1991"/>
      <c r="X31" s="1991"/>
      <c r="Y31" s="1991"/>
      <c r="Z31" s="1992"/>
      <c r="AA31" s="756"/>
      <c r="AB31" s="756"/>
      <c r="AC31" s="825" t="str">
        <f t="shared" si="1"/>
        <v>Stocks &amp; Créance d'Exploitation</v>
      </c>
      <c r="AD31" s="637">
        <f>SUM(AD24:AD30)</f>
        <v>2489045</v>
      </c>
      <c r="AE31" s="637">
        <f>SUM(AE24:AE30)</f>
        <v>2118443</v>
      </c>
      <c r="AF31" s="605" t="str">
        <f t="shared" si="2"/>
        <v>Dettes d'Exploitation</v>
      </c>
      <c r="AG31" s="841">
        <f>SUM(AG24:AG30)</f>
        <v>2489045</v>
      </c>
      <c r="AH31" s="841">
        <f>SUM(AH24:AH30)</f>
        <v>2118443</v>
      </c>
      <c r="AI31" s="541" t="str">
        <f t="shared" si="0"/>
        <v>RATIOS DE ROTATION</v>
      </c>
      <c r="AJ31" s="874">
        <f t="shared" si="3"/>
        <v>0</v>
      </c>
      <c r="AL31" s="541">
        <f t="shared" si="4"/>
        <v>2</v>
      </c>
      <c r="AM31" s="542"/>
      <c r="AN31" s="540"/>
    </row>
    <row r="32" spans="1:40" ht="12">
      <c r="A32" s="605"/>
      <c r="B32" s="556"/>
      <c r="C32" s="559"/>
      <c r="D32" s="541"/>
      <c r="E32" s="572"/>
      <c r="F32" s="605"/>
      <c r="G32" s="541"/>
      <c r="H32" s="540"/>
      <c r="I32" s="542"/>
      <c r="J32" s="572"/>
      <c r="K32" s="605" t="s">
        <v>543</v>
      </c>
      <c r="L32" s="685">
        <f>B33</f>
        <v>14000</v>
      </c>
      <c r="M32" s="686">
        <f>C35</f>
        <v>14000</v>
      </c>
      <c r="N32" s="685">
        <f>D33</f>
        <v>40800</v>
      </c>
      <c r="O32" s="686"/>
      <c r="P32" s="542"/>
      <c r="Q32" s="572"/>
      <c r="V32" s="865"/>
      <c r="W32" s="542"/>
      <c r="X32" s="542"/>
      <c r="Y32" s="542"/>
      <c r="Z32" s="540"/>
      <c r="AC32" s="824">
        <f t="shared" si="1"/>
      </c>
      <c r="AD32" s="604">
        <f>IF(AL32=1,G32,IF(AL32=2,H32))</f>
        <v>0</v>
      </c>
      <c r="AE32" s="844">
        <f>IF($AC$3=1,I32,J32)</f>
        <v>0</v>
      </c>
      <c r="AF32" s="605">
        <f t="shared" si="2"/>
        <v>0</v>
      </c>
      <c r="AG32" s="749">
        <f>IF(AL32=1,G32,IF(AL32=2,H32))</f>
        <v>0</v>
      </c>
      <c r="AH32" s="541">
        <f>IF($AC$3=1,I32,IF($AC$3=2,J32))</f>
        <v>0</v>
      </c>
      <c r="AI32" s="541">
        <f t="shared" si="0"/>
        <v>0</v>
      </c>
      <c r="AJ32" s="844">
        <f t="shared" si="3"/>
        <v>0</v>
      </c>
      <c r="AL32" s="541">
        <f t="shared" si="4"/>
        <v>2</v>
      </c>
      <c r="AM32" s="542"/>
      <c r="AN32" s="540"/>
    </row>
    <row r="33" spans="1:40" ht="12">
      <c r="A33" s="605" t="s">
        <v>303</v>
      </c>
      <c r="B33" s="556">
        <f>B!B50</f>
        <v>14000</v>
      </c>
      <c r="C33" s="559">
        <f>B33</f>
        <v>14000</v>
      </c>
      <c r="D33" s="541">
        <f>B!E50</f>
        <v>40800</v>
      </c>
      <c r="E33" s="572"/>
      <c r="F33" s="665" t="s">
        <v>297</v>
      </c>
      <c r="G33" s="541">
        <f>B!J41</f>
        <v>81767</v>
      </c>
      <c r="H33" s="540">
        <f>G33</f>
        <v>81767</v>
      </c>
      <c r="I33" s="542">
        <f>-I30</f>
        <v>42872</v>
      </c>
      <c r="J33" s="572"/>
      <c r="K33" s="605" t="s">
        <v>539</v>
      </c>
      <c r="L33" s="687">
        <f>-G35</f>
        <v>-168659</v>
      </c>
      <c r="M33" s="688">
        <f>-H35</f>
        <v>-168659</v>
      </c>
      <c r="N33" s="687">
        <f>I35</f>
        <v>135790</v>
      </c>
      <c r="O33" s="688"/>
      <c r="P33" s="542"/>
      <c r="Q33" s="572"/>
      <c r="V33" s="541" t="s">
        <v>592</v>
      </c>
      <c r="W33" s="542"/>
      <c r="X33" s="542"/>
      <c r="Y33" s="542">
        <f>L29</f>
        <v>1508743</v>
      </c>
      <c r="Z33" s="540">
        <f>M29</f>
        <v>1521543</v>
      </c>
      <c r="AC33" s="824" t="str">
        <f t="shared" si="1"/>
        <v>Valeur mobilière de placement</v>
      </c>
      <c r="AD33" s="604">
        <f>IF(AL33=1,G33,IF(AL33=2,H33))</f>
        <v>81767</v>
      </c>
      <c r="AE33" s="844">
        <f>IF($AC$3=1,I33,J33)</f>
        <v>42872</v>
      </c>
      <c r="AF33" s="605" t="str">
        <f t="shared" si="2"/>
        <v>Impôts sur les sociétés</v>
      </c>
      <c r="AG33" s="749">
        <f>IF(AL33=1,G33,IF(AL33=2,H33))</f>
        <v>81767</v>
      </c>
      <c r="AH33" s="541">
        <f>IF($AC$3=1,I33,IF($AC$3=2,J33))</f>
        <v>42872</v>
      </c>
      <c r="AI33" s="541" t="str">
        <f t="shared" si="0"/>
        <v>Besoin de fond de roulement net</v>
      </c>
      <c r="AJ33" s="844">
        <f t="shared" si="3"/>
        <v>1508743</v>
      </c>
      <c r="AL33" s="541">
        <f t="shared" si="4"/>
        <v>2</v>
      </c>
      <c r="AM33" s="542"/>
      <c r="AN33" s="540"/>
    </row>
    <row r="34" spans="1:40" ht="12">
      <c r="A34" s="605"/>
      <c r="B34" s="556"/>
      <c r="C34" s="560"/>
      <c r="D34" s="612"/>
      <c r="E34" s="611"/>
      <c r="F34" s="665" t="s">
        <v>293</v>
      </c>
      <c r="G34" s="541">
        <f>B!J73</f>
        <v>86892</v>
      </c>
      <c r="H34" s="540">
        <f>G34</f>
        <v>86892</v>
      </c>
      <c r="I34" s="542">
        <f>-I17</f>
        <v>92918</v>
      </c>
      <c r="J34" s="611"/>
      <c r="K34" s="605"/>
      <c r="L34" s="681">
        <f>SUM(L32:L33)</f>
        <v>-154659</v>
      </c>
      <c r="M34" s="682">
        <f>SUM(M32:M33)</f>
        <v>-154659</v>
      </c>
      <c r="N34" s="681">
        <f>N32-N33</f>
        <v>-94990</v>
      </c>
      <c r="O34" s="682"/>
      <c r="P34" s="657">
        <f>L34-N34</f>
        <v>-59669</v>
      </c>
      <c r="Q34" s="572"/>
      <c r="V34" s="541" t="s">
        <v>44</v>
      </c>
      <c r="W34" s="542"/>
      <c r="X34" s="542"/>
      <c r="Y34" s="542">
        <f>'R1'!I9</f>
        <v>9238580</v>
      </c>
      <c r="Z34" s="540"/>
      <c r="AC34" s="830">
        <f t="shared" si="1"/>
      </c>
      <c r="AD34" s="860">
        <f>IF(AL34=1,G34,IF(AL34=2,H34))</f>
        <v>86892</v>
      </c>
      <c r="AE34" s="861">
        <f>IF($AC$3=1,I34,J34)</f>
        <v>92918</v>
      </c>
      <c r="AF34" s="605" t="str">
        <f t="shared" si="2"/>
        <v>Intérêt courus</v>
      </c>
      <c r="AG34" s="749">
        <f>IF(AL34=1,G34,IF(AL34=2,H34))</f>
        <v>86892</v>
      </c>
      <c r="AH34" s="541">
        <f>IF($AC$3=1,I34,IF($AC$3=2,J34))</f>
        <v>92918</v>
      </c>
      <c r="AI34" s="541" t="str">
        <f t="shared" si="0"/>
        <v>CA</v>
      </c>
      <c r="AJ34" s="844">
        <f t="shared" si="3"/>
        <v>9238580</v>
      </c>
      <c r="AL34" s="541">
        <f t="shared" si="4"/>
        <v>2</v>
      </c>
      <c r="AM34" s="542"/>
      <c r="AN34" s="540"/>
    </row>
    <row r="35" spans="1:40" s="624" customFormat="1" ht="12.75" thickBot="1">
      <c r="A35" s="625" t="s">
        <v>653</v>
      </c>
      <c r="B35" s="626">
        <f>SUM(B33:B34)</f>
        <v>14000</v>
      </c>
      <c r="C35" s="627">
        <f>SUM(C33:C34)</f>
        <v>14000</v>
      </c>
      <c r="D35" s="628">
        <f>SUM(D32:D34)</f>
        <v>40800</v>
      </c>
      <c r="E35" s="630"/>
      <c r="F35" s="632" t="s">
        <v>654</v>
      </c>
      <c r="G35" s="628">
        <f>SUM(G33:G34)</f>
        <v>168659</v>
      </c>
      <c r="H35" s="631">
        <f>SUM(H33:H34)</f>
        <v>168659</v>
      </c>
      <c r="I35" s="629">
        <f>SUM(I33:I34)</f>
        <v>135790</v>
      </c>
      <c r="J35" s="630">
        <f>SUM(J33:J34)</f>
        <v>0</v>
      </c>
      <c r="K35" s="656"/>
      <c r="L35" s="676"/>
      <c r="M35" s="677"/>
      <c r="N35" s="676"/>
      <c r="O35" s="677"/>
      <c r="P35" s="657"/>
      <c r="Q35" s="658"/>
      <c r="V35" s="541" t="s">
        <v>593</v>
      </c>
      <c r="W35" s="613"/>
      <c r="X35" s="613"/>
      <c r="Y35" s="613">
        <f>Y33/Y34</f>
        <v>0.16330897172509196</v>
      </c>
      <c r="Z35" s="614"/>
      <c r="AA35" s="662"/>
      <c r="AB35" s="662"/>
      <c r="AC35" s="825" t="str">
        <f t="shared" si="1"/>
        <v>Créances Hors Exploitation</v>
      </c>
      <c r="AD35" s="637">
        <f>SUM(AD32:AD34)</f>
        <v>168659</v>
      </c>
      <c r="AE35" s="637">
        <f>SUM(AE32:AE34)</f>
        <v>135790</v>
      </c>
      <c r="AF35" s="605" t="str">
        <f t="shared" si="2"/>
        <v>Dettes Hors Exploitation</v>
      </c>
      <c r="AG35" s="841">
        <f>SUM(AG32:AG34)</f>
        <v>168659</v>
      </c>
      <c r="AH35" s="841">
        <f>SUM(AH32:AH34)</f>
        <v>135790</v>
      </c>
      <c r="AI35" s="541" t="str">
        <f t="shared" si="0"/>
        <v>B F R E / C A</v>
      </c>
      <c r="AJ35" s="861">
        <f t="shared" si="3"/>
        <v>0.16330897172509196</v>
      </c>
      <c r="AL35" s="541">
        <f t="shared" si="4"/>
        <v>2</v>
      </c>
      <c r="AM35" s="613"/>
      <c r="AN35" s="614"/>
    </row>
    <row r="36" spans="1:40" ht="12.75" thickBot="1">
      <c r="A36" s="605"/>
      <c r="B36" s="556"/>
      <c r="C36" s="559"/>
      <c r="D36" s="541"/>
      <c r="E36" s="572"/>
      <c r="F36" s="605"/>
      <c r="G36" s="541"/>
      <c r="H36" s="540"/>
      <c r="I36" s="542"/>
      <c r="J36" s="572"/>
      <c r="K36" s="2016" t="s">
        <v>535</v>
      </c>
      <c r="L36" s="2017"/>
      <c r="M36" s="2017"/>
      <c r="N36" s="2017"/>
      <c r="O36" s="2017"/>
      <c r="P36" s="2017"/>
      <c r="Q36" s="2018"/>
      <c r="V36" s="541"/>
      <c r="W36" s="542"/>
      <c r="X36" s="542"/>
      <c r="Y36" s="542"/>
      <c r="Z36" s="540"/>
      <c r="AC36" s="824">
        <f t="shared" si="1"/>
      </c>
      <c r="AD36" s="604">
        <f>IF(AL36=1,G36,IF(AL36=2,H36))</f>
        <v>0</v>
      </c>
      <c r="AE36" s="844">
        <f>IF($AC$3=1,I36,J36)</f>
        <v>0</v>
      </c>
      <c r="AF36" s="605">
        <f t="shared" si="2"/>
        <v>0</v>
      </c>
      <c r="AG36" s="749">
        <f>IF(AL36=1,G36,IF(AL36=2,H36))</f>
        <v>0</v>
      </c>
      <c r="AH36" s="541">
        <f>IF($AC$3=1,I36,IF($AC$3=2,J36))</f>
        <v>0</v>
      </c>
      <c r="AI36" s="541">
        <f t="shared" si="0"/>
        <v>0</v>
      </c>
      <c r="AJ36" s="844">
        <f t="shared" si="3"/>
        <v>0</v>
      </c>
      <c r="AL36" s="541">
        <f t="shared" si="4"/>
        <v>2</v>
      </c>
      <c r="AM36" s="542"/>
      <c r="AN36" s="540"/>
    </row>
    <row r="37" spans="1:40" ht="12">
      <c r="A37" s="605" t="s">
        <v>268</v>
      </c>
      <c r="B37" s="556">
        <f>B!B51</f>
        <v>263800</v>
      </c>
      <c r="C37" s="559">
        <f>B37</f>
        <v>263800</v>
      </c>
      <c r="D37" s="541">
        <f>B!E51</f>
        <v>146120</v>
      </c>
      <c r="E37" s="572"/>
      <c r="F37" s="605" t="s">
        <v>481</v>
      </c>
      <c r="G37" s="541">
        <f>B!J69</f>
        <v>14500</v>
      </c>
      <c r="H37" s="540">
        <f>G37</f>
        <v>14500</v>
      </c>
      <c r="I37" s="542">
        <f>B!K69</f>
        <v>11500</v>
      </c>
      <c r="J37" s="572"/>
      <c r="K37" s="656" t="s">
        <v>537</v>
      </c>
      <c r="L37" s="685">
        <f>L9</f>
        <v>1603384</v>
      </c>
      <c r="M37" s="686">
        <f>M9</f>
        <v>1603384</v>
      </c>
      <c r="N37" s="685">
        <f>N13</f>
        <v>1427343</v>
      </c>
      <c r="O37" s="686"/>
      <c r="P37" s="657"/>
      <c r="Q37" s="658"/>
      <c r="V37" s="541" t="s">
        <v>312</v>
      </c>
      <c r="W37" s="542"/>
      <c r="X37" s="542"/>
      <c r="Y37" s="542">
        <v>1087840</v>
      </c>
      <c r="Z37" s="540"/>
      <c r="AC37" s="824" t="str">
        <f t="shared" si="1"/>
        <v>Disponibilité</v>
      </c>
      <c r="AD37" s="604">
        <f>IF(AL37=1,G37,IF(AL37=2,H37))</f>
        <v>14500</v>
      </c>
      <c r="AE37" s="844">
        <f>IF($AC$3=1,I37,J37)</f>
        <v>11500</v>
      </c>
      <c r="AF37" s="605" t="str">
        <f t="shared" si="2"/>
        <v>Consours bancaires courants</v>
      </c>
      <c r="AG37" s="749">
        <f>IF(AL37=1,G37,IF(AL37=2,H37))</f>
        <v>14500</v>
      </c>
      <c r="AH37" s="541">
        <f>IF($AC$3=1,I37,IF($AC$3=2,J37))</f>
        <v>11500</v>
      </c>
      <c r="AI37" s="541" t="str">
        <f t="shared" si="0"/>
        <v>Stock initial</v>
      </c>
      <c r="AJ37" s="844">
        <f t="shared" si="3"/>
        <v>1087840</v>
      </c>
      <c r="AL37" s="541">
        <f t="shared" si="4"/>
        <v>2</v>
      </c>
      <c r="AM37" s="542"/>
      <c r="AN37" s="540"/>
    </row>
    <row r="38" spans="1:40" ht="12">
      <c r="A38" s="605"/>
      <c r="B38" s="556"/>
      <c r="C38" s="559"/>
      <c r="D38" s="541"/>
      <c r="E38" s="572"/>
      <c r="F38" s="605" t="s">
        <v>487</v>
      </c>
      <c r="G38" s="541"/>
      <c r="H38" s="540">
        <f>B!D84</f>
        <v>12800</v>
      </c>
      <c r="I38" s="542"/>
      <c r="J38" s="572"/>
      <c r="K38" s="656" t="s">
        <v>536</v>
      </c>
      <c r="L38" s="687">
        <f>-L25</f>
        <v>-1354084</v>
      </c>
      <c r="M38" s="688">
        <f>-M25</f>
        <v>-1366884</v>
      </c>
      <c r="N38" s="687">
        <f>-N25</f>
        <v>-1292723</v>
      </c>
      <c r="O38" s="688"/>
      <c r="P38" s="657"/>
      <c r="Q38" s="658"/>
      <c r="V38" s="541" t="s">
        <v>313</v>
      </c>
      <c r="W38" s="542"/>
      <c r="X38" s="542"/>
      <c r="Y38" s="542">
        <v>1043200</v>
      </c>
      <c r="Z38" s="540"/>
      <c r="AC38" s="824">
        <f t="shared" si="1"/>
      </c>
      <c r="AD38" s="604">
        <f>IF(AL38=1,G38,IF(AL38=2,H38))</f>
        <v>12800</v>
      </c>
      <c r="AE38" s="844">
        <f>IF($AC$3=1,I38,J38)</f>
        <v>0</v>
      </c>
      <c r="AF38" s="605" t="str">
        <f t="shared" si="2"/>
        <v>Effet escomptés non échus</v>
      </c>
      <c r="AG38" s="749">
        <f>IF(AL38=1,G38,IF(AL38=2,H38))</f>
        <v>12800</v>
      </c>
      <c r="AH38" s="541">
        <f>IF($AC$3=1,I38,IF($AC$3=2,J38))</f>
        <v>0</v>
      </c>
      <c r="AI38" s="541" t="str">
        <f t="shared" si="0"/>
        <v>Stock final</v>
      </c>
      <c r="AJ38" s="844">
        <f t="shared" si="3"/>
        <v>1043200</v>
      </c>
      <c r="AL38" s="541">
        <f t="shared" si="4"/>
        <v>2</v>
      </c>
      <c r="AM38" s="542"/>
      <c r="AN38" s="540"/>
    </row>
    <row r="39" spans="1:40" ht="12">
      <c r="A39" s="633" t="s">
        <v>299</v>
      </c>
      <c r="B39" s="626">
        <f>SUM(B37:B38)</f>
        <v>263800</v>
      </c>
      <c r="C39" s="627">
        <f>SUM(C37:C38)</f>
        <v>263800</v>
      </c>
      <c r="D39" s="628">
        <f>SUM(D36:D38)</f>
        <v>146120</v>
      </c>
      <c r="E39" s="630"/>
      <c r="F39" s="625" t="s">
        <v>306</v>
      </c>
      <c r="G39" s="628">
        <f>SUM(G37:G38)</f>
        <v>14500</v>
      </c>
      <c r="H39" s="631">
        <f>SUM(H37:H38)</f>
        <v>27300</v>
      </c>
      <c r="I39" s="629">
        <f>SUM(I37:I38)</f>
        <v>11500</v>
      </c>
      <c r="J39" s="630">
        <f>SUM(J37:J38)</f>
        <v>0</v>
      </c>
      <c r="K39" s="656" t="s">
        <v>535</v>
      </c>
      <c r="L39" s="673">
        <f>SUM(L37:L38)</f>
        <v>249300</v>
      </c>
      <c r="M39" s="675">
        <f>SUM(M37:M38)</f>
        <v>236500</v>
      </c>
      <c r="N39" s="673">
        <f>SUM(N37:N38)</f>
        <v>134620</v>
      </c>
      <c r="O39" s="675"/>
      <c r="P39" s="657">
        <f>L39-N39</f>
        <v>114680</v>
      </c>
      <c r="Q39" s="658"/>
      <c r="V39" s="541"/>
      <c r="W39" s="542"/>
      <c r="X39" s="542"/>
      <c r="Y39" s="542"/>
      <c r="Z39" s="540"/>
      <c r="AC39" s="825" t="str">
        <f t="shared" si="1"/>
        <v>Trésorerie active</v>
      </c>
      <c r="AD39" s="637">
        <f>SUM(AD36:AD38)</f>
        <v>27300</v>
      </c>
      <c r="AE39" s="637">
        <f>SUM(AE36:AE38)</f>
        <v>11500</v>
      </c>
      <c r="AF39" s="605" t="str">
        <f t="shared" si="2"/>
        <v>Trésorerie passive</v>
      </c>
      <c r="AG39" s="841">
        <f>SUM(AG36:AG38)</f>
        <v>27300</v>
      </c>
      <c r="AH39" s="841">
        <f>SUM(AH36:AH38)</f>
        <v>11500</v>
      </c>
      <c r="AI39" s="541">
        <f t="shared" si="0"/>
        <v>0</v>
      </c>
      <c r="AJ39" s="844">
        <f t="shared" si="3"/>
        <v>0</v>
      </c>
      <c r="AL39" s="541">
        <f t="shared" si="4"/>
        <v>2</v>
      </c>
      <c r="AM39" s="542"/>
      <c r="AN39" s="540"/>
    </row>
    <row r="40" spans="1:40" ht="12">
      <c r="A40" s="604"/>
      <c r="B40" s="556"/>
      <c r="C40" s="559"/>
      <c r="D40" s="541"/>
      <c r="E40" s="572"/>
      <c r="F40" s="605"/>
      <c r="G40" s="541"/>
      <c r="H40" s="540"/>
      <c r="I40" s="542"/>
      <c r="J40" s="572"/>
      <c r="K40" s="605"/>
      <c r="L40" s="681"/>
      <c r="M40" s="682"/>
      <c r="N40" s="681"/>
      <c r="O40" s="682"/>
      <c r="P40" s="542"/>
      <c r="Q40" s="572"/>
      <c r="V40" s="541"/>
      <c r="W40" s="542"/>
      <c r="X40" s="542"/>
      <c r="Y40" s="542"/>
      <c r="Z40" s="540"/>
      <c r="AC40" s="824">
        <f t="shared" si="1"/>
      </c>
      <c r="AD40" s="604">
        <f>IF(AL40=1,G40,IF(AL40=2,H40))</f>
        <v>0</v>
      </c>
      <c r="AE40" s="844">
        <f>IF($AC$3=1,I40,J40)</f>
        <v>0</v>
      </c>
      <c r="AF40" s="605">
        <f t="shared" si="2"/>
        <v>0</v>
      </c>
      <c r="AG40" s="749">
        <f>IF(AL40=1,G40,IF(AL40=2,H40))</f>
        <v>0</v>
      </c>
      <c r="AH40" s="541">
        <f>IF($AC$3=1,I40,IF($AC$3=2,J40))</f>
        <v>0</v>
      </c>
      <c r="AI40" s="541">
        <f t="shared" si="0"/>
        <v>0</v>
      </c>
      <c r="AJ40" s="844">
        <f t="shared" si="3"/>
        <v>0</v>
      </c>
      <c r="AL40" s="541">
        <f t="shared" si="4"/>
        <v>2</v>
      </c>
      <c r="AM40" s="542"/>
      <c r="AN40" s="540"/>
    </row>
    <row r="41" spans="1:40" ht="12">
      <c r="A41" s="608" t="s">
        <v>490</v>
      </c>
      <c r="B41" s="561">
        <f>B39+B35+B31</f>
        <v>4275588</v>
      </c>
      <c r="C41" s="562">
        <f>C39+C35+C31</f>
        <v>4288388</v>
      </c>
      <c r="D41" s="561">
        <f>D39+D35+D31</f>
        <v>3693076</v>
      </c>
      <c r="E41" s="573"/>
      <c r="F41" s="608" t="s">
        <v>489</v>
      </c>
      <c r="G41" s="563">
        <f>G35+G31+G39</f>
        <v>2672204</v>
      </c>
      <c r="H41" s="564">
        <f>H35+H31+H39</f>
        <v>2685004</v>
      </c>
      <c r="I41" s="565">
        <f>I35+I31+I39</f>
        <v>2265733</v>
      </c>
      <c r="J41" s="575">
        <f>J35+J31+J39</f>
        <v>0</v>
      </c>
      <c r="K41" s="656" t="s">
        <v>299</v>
      </c>
      <c r="L41" s="681">
        <f>B39</f>
        <v>263800</v>
      </c>
      <c r="M41" s="682">
        <f>C39</f>
        <v>263800</v>
      </c>
      <c r="N41" s="681">
        <f>D39</f>
        <v>146120</v>
      </c>
      <c r="O41" s="682"/>
      <c r="P41" s="657"/>
      <c r="Q41" s="658"/>
      <c r="V41" s="541"/>
      <c r="W41" s="542"/>
      <c r="X41" s="542"/>
      <c r="Y41" s="542"/>
      <c r="Z41" s="540"/>
      <c r="AC41" s="827" t="str">
        <f t="shared" si="1"/>
        <v>Actif circulants</v>
      </c>
      <c r="AD41" s="609">
        <f>AD35+AD31+AD39</f>
        <v>2685004</v>
      </c>
      <c r="AE41" s="846">
        <f>AE35+AE31+AE39</f>
        <v>2265733</v>
      </c>
      <c r="AF41" s="605" t="str">
        <f t="shared" si="2"/>
        <v>Total Passif circulant</v>
      </c>
      <c r="AG41" s="842">
        <f>IF(AL41=1,G41,IF(AL41=2,H41))</f>
        <v>2685004</v>
      </c>
      <c r="AH41" s="563">
        <f>IF($AC$3=1,I41,IF($AC$3=2,J41))</f>
        <v>2265733</v>
      </c>
      <c r="AI41" s="541">
        <f t="shared" si="0"/>
        <v>0</v>
      </c>
      <c r="AJ41" s="844">
        <f t="shared" si="3"/>
        <v>0</v>
      </c>
      <c r="AL41" s="541">
        <f t="shared" si="4"/>
        <v>2</v>
      </c>
      <c r="AM41" s="542"/>
      <c r="AN41" s="540"/>
    </row>
    <row r="42" spans="1:40" ht="12">
      <c r="A42" s="604"/>
      <c r="B42" s="556"/>
      <c r="C42" s="559"/>
      <c r="D42" s="541"/>
      <c r="E42" s="572"/>
      <c r="F42" s="605"/>
      <c r="G42" s="541"/>
      <c r="H42" s="540"/>
      <c r="I42" s="542"/>
      <c r="J42" s="572"/>
      <c r="K42" s="656" t="s">
        <v>306</v>
      </c>
      <c r="L42" s="687">
        <f>-G39</f>
        <v>-14500</v>
      </c>
      <c r="M42" s="688">
        <f>-H39</f>
        <v>-27300</v>
      </c>
      <c r="N42" s="687">
        <f>-I39</f>
        <v>-11500</v>
      </c>
      <c r="O42" s="688"/>
      <c r="P42" s="657"/>
      <c r="Q42" s="658"/>
      <c r="V42" s="541"/>
      <c r="W42" s="542"/>
      <c r="X42" s="542"/>
      <c r="Y42" s="542"/>
      <c r="Z42" s="540"/>
      <c r="AC42" s="824">
        <f t="shared" si="1"/>
      </c>
      <c r="AD42" s="604">
        <f>IF(AL42=1,G42,IF(AL42=2,H42))</f>
        <v>0</v>
      </c>
      <c r="AE42" s="844">
        <f>IF($AC$3=1,I42,J42)</f>
        <v>0</v>
      </c>
      <c r="AF42" s="605">
        <f t="shared" si="2"/>
        <v>0</v>
      </c>
      <c r="AG42" s="749">
        <f>IF(AL42=1,G42,IF(AL42=2,H42))</f>
        <v>0</v>
      </c>
      <c r="AH42" s="541">
        <f>IF($AC$3=1,I42,IF($AC$3=2,J42))</f>
        <v>0</v>
      </c>
      <c r="AI42" s="541">
        <f t="shared" si="0"/>
        <v>0</v>
      </c>
      <c r="AJ42" s="844">
        <f t="shared" si="3"/>
        <v>0</v>
      </c>
      <c r="AL42" s="541">
        <f t="shared" si="4"/>
        <v>2</v>
      </c>
      <c r="AM42" s="542"/>
      <c r="AN42" s="540"/>
    </row>
    <row r="43" spans="1:40" ht="12.75" thickBot="1">
      <c r="A43" s="616" t="s">
        <v>491</v>
      </c>
      <c r="B43" s="617">
        <f>B41+B22</f>
        <v>5895328</v>
      </c>
      <c r="C43" s="618">
        <f>C41+C22</f>
        <v>5958128</v>
      </c>
      <c r="D43" s="619">
        <f>D41+D22</f>
        <v>5169196</v>
      </c>
      <c r="E43" s="621"/>
      <c r="F43" s="622" t="s">
        <v>488</v>
      </c>
      <c r="G43" s="619">
        <f>G41+G22</f>
        <v>5895328</v>
      </c>
      <c r="H43" s="623">
        <f>H41+H22</f>
        <v>5958128</v>
      </c>
      <c r="I43" s="620">
        <f>I41+I22</f>
        <v>5169196</v>
      </c>
      <c r="J43" s="621">
        <f>J41+J22</f>
        <v>0</v>
      </c>
      <c r="K43" s="667" t="s">
        <v>535</v>
      </c>
      <c r="L43" s="676">
        <f>SUM(L41:L42)</f>
        <v>249300</v>
      </c>
      <c r="M43" s="677">
        <f>M41-M42</f>
        <v>291100</v>
      </c>
      <c r="N43" s="676">
        <f>SUM(N41:N42)</f>
        <v>134620</v>
      </c>
      <c r="O43" s="677"/>
      <c r="P43" s="712">
        <f>L43-N43</f>
        <v>114680</v>
      </c>
      <c r="Q43" s="668"/>
      <c r="V43" s="615"/>
      <c r="W43" s="551"/>
      <c r="X43" s="551"/>
      <c r="Y43" s="551"/>
      <c r="Z43" s="550"/>
      <c r="AC43" s="831" t="str">
        <f t="shared" si="1"/>
        <v>Total Actif</v>
      </c>
      <c r="AD43" s="862">
        <f>AD41+AD22</f>
        <v>5958128</v>
      </c>
      <c r="AE43" s="847">
        <f>AE41+AE22</f>
        <v>5169196</v>
      </c>
      <c r="AF43" s="852" t="str">
        <f t="shared" si="2"/>
        <v>PASSIF TOTAL</v>
      </c>
      <c r="AG43" s="864">
        <f>IF(AL43=1,G43,IF(AL43=2,H43))</f>
        <v>5958128</v>
      </c>
      <c r="AH43" s="619">
        <f>IF($AC$3=1,I43,IF($AC$3=2,J43))</f>
        <v>5169196</v>
      </c>
      <c r="AI43" s="876">
        <f t="shared" si="0"/>
        <v>0</v>
      </c>
      <c r="AJ43" s="877">
        <f t="shared" si="3"/>
        <v>0</v>
      </c>
      <c r="AL43" s="615">
        <f t="shared" si="4"/>
        <v>2</v>
      </c>
      <c r="AM43" s="551"/>
      <c r="AN43" s="550"/>
    </row>
  </sheetData>
  <sheetProtection/>
  <mergeCells count="33">
    <mergeCell ref="W3:W4"/>
    <mergeCell ref="A23:E23"/>
    <mergeCell ref="F23:J23"/>
    <mergeCell ref="F5:J5"/>
    <mergeCell ref="A5:E5"/>
    <mergeCell ref="V5:Z5"/>
    <mergeCell ref="V15:Z15"/>
    <mergeCell ref="B3:C3"/>
    <mergeCell ref="G3:H3"/>
    <mergeCell ref="K1:M1"/>
    <mergeCell ref="K2:M2"/>
    <mergeCell ref="A1:J1"/>
    <mergeCell ref="L3:M3"/>
    <mergeCell ref="D3:E3"/>
    <mergeCell ref="I3:J3"/>
    <mergeCell ref="A2:E2"/>
    <mergeCell ref="F2:J2"/>
    <mergeCell ref="V31:Z31"/>
    <mergeCell ref="K14:Q14"/>
    <mergeCell ref="K26:Q26"/>
    <mergeCell ref="K31:Q31"/>
    <mergeCell ref="K36:Q36"/>
    <mergeCell ref="N3:O3"/>
    <mergeCell ref="P3:Q3"/>
    <mergeCell ref="K6:Q6"/>
    <mergeCell ref="K5:M5"/>
    <mergeCell ref="X3:Y3"/>
    <mergeCell ref="AC5:AE5"/>
    <mergeCell ref="AF5:AH5"/>
    <mergeCell ref="AC4:AH4"/>
    <mergeCell ref="AC1:AH1"/>
    <mergeCell ref="AC2:AE2"/>
    <mergeCell ref="AF2:AH2"/>
  </mergeCells>
  <printOptions/>
  <pageMargins left="0.1968503937007874" right="0.1968503937007874" top="0.3937007874015748" bottom="0.3937007874015748" header="0.5118110236220472" footer="0.5118110236220472"/>
  <pageSetup orientation="landscape" paperSize="9"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euil24"/>
  <dimension ref="A1:A3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34.28125" style="0" customWidth="1"/>
  </cols>
  <sheetData>
    <row r="1" ht="12.75">
      <c r="A1" t="s">
        <v>854</v>
      </c>
    </row>
    <row r="3" ht="12.75">
      <c r="A3" t="s">
        <v>855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euil14"/>
  <dimension ref="B2:J27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2.28125" style="0" customWidth="1"/>
    <col min="2" max="2" width="3.421875" style="0" customWidth="1"/>
    <col min="3" max="3" width="34.8515625" style="0" customWidth="1"/>
    <col min="4" max="4" width="13.28125" style="0" bestFit="1" customWidth="1"/>
    <col min="5" max="5" width="11.7109375" style="165" bestFit="1" customWidth="1"/>
    <col min="6" max="6" width="7.421875" style="0" customWidth="1"/>
  </cols>
  <sheetData>
    <row r="2" spans="2:6" ht="12.75">
      <c r="B2" s="204"/>
      <c r="C2" s="7"/>
      <c r="D2" s="7"/>
      <c r="E2" s="690"/>
      <c r="F2" s="211"/>
    </row>
    <row r="3" spans="2:6" ht="12.75">
      <c r="B3" s="166"/>
      <c r="C3" s="167" t="s">
        <v>54</v>
      </c>
      <c r="D3" s="167"/>
      <c r="E3" s="39">
        <f>VA</f>
        <v>5124355</v>
      </c>
      <c r="F3" s="169"/>
    </row>
    <row r="4" spans="2:6" ht="12.75">
      <c r="B4" s="166"/>
      <c r="C4" s="167"/>
      <c r="D4" s="167"/>
      <c r="E4" s="452"/>
      <c r="F4" s="169"/>
    </row>
    <row r="5" spans="2:6" ht="12.75">
      <c r="B5" s="166"/>
      <c r="C5" s="167" t="s">
        <v>1170</v>
      </c>
      <c r="D5" s="186">
        <f>Salaire_traitements</f>
        <v>2822650</v>
      </c>
      <c r="E5" s="452">
        <f>IF($E$3=0,"",D5/$E$3)</f>
        <v>0.5508302996181959</v>
      </c>
      <c r="F5" s="169"/>
    </row>
    <row r="6" spans="2:6" ht="12.75">
      <c r="B6" s="166"/>
      <c r="C6" s="167" t="s">
        <v>80</v>
      </c>
      <c r="D6" s="186">
        <f>Impot_Taxe_Versmt</f>
        <v>305837</v>
      </c>
      <c r="E6" s="452">
        <f>IF($E$3=0,"",D6/$E$3)</f>
        <v>0.05968302352198472</v>
      </c>
      <c r="F6" s="169"/>
    </row>
    <row r="7" spans="2:6" ht="12.75">
      <c r="B7" s="166"/>
      <c r="C7" s="167" t="s">
        <v>74</v>
      </c>
      <c r="D7" s="186"/>
      <c r="E7" s="452">
        <f>IF($E$3=0,"",D7/$E$3)</f>
        <v>0</v>
      </c>
      <c r="F7" s="169"/>
    </row>
    <row r="8" spans="2:6" ht="12.75">
      <c r="B8" s="166"/>
      <c r="C8" s="167" t="s">
        <v>75</v>
      </c>
      <c r="D8" s="185">
        <f>'R1'!I55</f>
        <v>381898</v>
      </c>
      <c r="E8" s="452">
        <f>IF($E$3=0,"",D8/$E$3)</f>
        <v>0.0745260623044266</v>
      </c>
      <c r="F8" s="169"/>
    </row>
    <row r="9" spans="2:6" ht="12.75">
      <c r="B9" s="166"/>
      <c r="C9" s="167"/>
      <c r="D9" s="39">
        <f>SUM(D5:D8)</f>
        <v>3510385</v>
      </c>
      <c r="E9" s="452">
        <f>IF($E$3=0,"",D9/$E$3)</f>
        <v>0.6850393854446072</v>
      </c>
      <c r="F9" s="169"/>
    </row>
    <row r="10" spans="2:6" ht="12.75">
      <c r="B10" s="166"/>
      <c r="C10" s="167"/>
      <c r="D10" s="167"/>
      <c r="E10" s="452"/>
      <c r="F10" s="169"/>
    </row>
    <row r="11" spans="2:6" ht="12.75">
      <c r="B11" s="166"/>
      <c r="C11" s="167" t="s">
        <v>76</v>
      </c>
      <c r="D11" s="39">
        <f>MargeCom</f>
        <v>0</v>
      </c>
      <c r="E11" s="452">
        <f>IF($E$3=0,"",D11/$E$3)</f>
        <v>0</v>
      </c>
      <c r="F11" s="169"/>
    </row>
    <row r="12" spans="2:6" ht="12.75">
      <c r="B12" s="166"/>
      <c r="C12" s="167" t="s">
        <v>79</v>
      </c>
      <c r="D12" s="39">
        <f>D8</f>
        <v>381898</v>
      </c>
      <c r="E12" s="452">
        <f>IF($E$3=0,"",D12/$E$3)</f>
        <v>0.0745260623044266</v>
      </c>
      <c r="F12" s="169"/>
    </row>
    <row r="13" spans="2:6" ht="12.75">
      <c r="B13" s="166"/>
      <c r="C13" s="167" t="s">
        <v>82</v>
      </c>
      <c r="D13" s="39">
        <f>D11-D12</f>
        <v>-381898</v>
      </c>
      <c r="E13" s="452">
        <f>IF($E$3=0,"",D13/$E$3)</f>
        <v>-0.0745260623044266</v>
      </c>
      <c r="F13" s="169"/>
    </row>
    <row r="14" spans="2:6" ht="12.75">
      <c r="B14" s="168"/>
      <c r="C14" s="161"/>
      <c r="D14" s="161"/>
      <c r="E14" s="691"/>
      <c r="F14" s="170"/>
    </row>
    <row r="17" spans="3:10" ht="12.75">
      <c r="C17" s="2033" t="s">
        <v>912</v>
      </c>
      <c r="D17" s="958" t="s">
        <v>910</v>
      </c>
      <c r="E17" s="2034" t="s">
        <v>318</v>
      </c>
      <c r="F17" s="1761">
        <f>SIG0!L28</f>
        <v>792033</v>
      </c>
      <c r="G17" s="1751"/>
      <c r="H17" s="2034" t="s">
        <v>318</v>
      </c>
      <c r="I17" s="2035">
        <f>F17/F18</f>
        <v>0.15456247664340195</v>
      </c>
      <c r="J17" s="2035"/>
    </row>
    <row r="18" spans="3:10" ht="12.75">
      <c r="C18" s="2033"/>
      <c r="D18" s="914" t="s">
        <v>45</v>
      </c>
      <c r="E18" s="2035"/>
      <c r="F18" s="1760">
        <f>SIG0!L19</f>
        <v>5124355</v>
      </c>
      <c r="G18" s="2036"/>
      <c r="H18" s="2035"/>
      <c r="I18" s="2035"/>
      <c r="J18" s="2035"/>
    </row>
    <row r="19" spans="4:8" ht="12.75">
      <c r="D19" s="914"/>
      <c r="E19" s="959"/>
      <c r="F19" s="1751"/>
      <c r="G19" s="1751"/>
      <c r="H19" s="959"/>
    </row>
    <row r="20" spans="3:10" ht="12.75">
      <c r="C20" s="2033" t="s">
        <v>913</v>
      </c>
      <c r="D20" s="958" t="s">
        <v>45</v>
      </c>
      <c r="E20" s="2034" t="s">
        <v>318</v>
      </c>
      <c r="F20" s="1761">
        <f>E3</f>
        <v>5124355</v>
      </c>
      <c r="G20" s="1751"/>
      <c r="H20" s="2034" t="s">
        <v>318</v>
      </c>
      <c r="I20" s="2035">
        <f>F20/F21</f>
        <v>0.5546691158164999</v>
      </c>
      <c r="J20" s="2035"/>
    </row>
    <row r="21" spans="3:10" ht="12.75">
      <c r="C21" s="2033"/>
      <c r="D21" s="914" t="s">
        <v>44</v>
      </c>
      <c r="E21" s="2035"/>
      <c r="F21" s="1760">
        <f>SIG0!L9</f>
        <v>9238580</v>
      </c>
      <c r="G21" s="2036"/>
      <c r="H21" s="2035"/>
      <c r="I21" s="2035"/>
      <c r="J21" s="2035"/>
    </row>
    <row r="22" spans="4:8" ht="12.75">
      <c r="D22" s="914"/>
      <c r="E22" s="959"/>
      <c r="F22" s="1751"/>
      <c r="G22" s="1751"/>
      <c r="H22" s="959"/>
    </row>
    <row r="23" spans="3:10" ht="12.75">
      <c r="C23" s="2033" t="s">
        <v>914</v>
      </c>
      <c r="D23" s="958" t="s">
        <v>911</v>
      </c>
      <c r="E23" s="2034" t="s">
        <v>318</v>
      </c>
      <c r="F23" s="1761">
        <f>SIG0!H24</f>
        <v>4026485</v>
      </c>
      <c r="G23" s="1751"/>
      <c r="H23" s="2034" t="s">
        <v>318</v>
      </c>
      <c r="I23" s="2035">
        <f>F23/F24</f>
        <v>0.7857544998346133</v>
      </c>
      <c r="J23" s="2035"/>
    </row>
    <row r="24" spans="3:10" ht="12.75">
      <c r="C24" s="2033"/>
      <c r="D24" s="914" t="s">
        <v>45</v>
      </c>
      <c r="E24" s="2035"/>
      <c r="F24" s="1760">
        <f>E3</f>
        <v>5124355</v>
      </c>
      <c r="G24" s="2036"/>
      <c r="H24" s="2035"/>
      <c r="I24" s="2035"/>
      <c r="J24" s="2035"/>
    </row>
    <row r="26" spans="3:10" ht="12.75">
      <c r="C26" s="2033" t="s">
        <v>914</v>
      </c>
      <c r="D26" s="958" t="s">
        <v>975</v>
      </c>
      <c r="E26" s="2034" t="s">
        <v>318</v>
      </c>
      <c r="F26" s="1761">
        <f>SIG0!L103</f>
        <v>405046</v>
      </c>
      <c r="G26" s="1751"/>
      <c r="H26" s="2034" t="s">
        <v>318</v>
      </c>
      <c r="I26" s="2035">
        <f>F26/F27</f>
        <v>0.07904331374387606</v>
      </c>
      <c r="J26" s="2035"/>
    </row>
    <row r="27" spans="3:10" ht="12.75">
      <c r="C27" s="2033"/>
      <c r="D27" s="914" t="s">
        <v>45</v>
      </c>
      <c r="E27" s="2035"/>
      <c r="F27" s="1760">
        <f>E3</f>
        <v>5124355</v>
      </c>
      <c r="G27" s="2036"/>
      <c r="H27" s="2035"/>
      <c r="I27" s="2035"/>
      <c r="J27" s="2035"/>
    </row>
  </sheetData>
  <sheetProtection/>
  <mergeCells count="26">
    <mergeCell ref="C26:C27"/>
    <mergeCell ref="E26:E27"/>
    <mergeCell ref="F26:G26"/>
    <mergeCell ref="F27:G27"/>
    <mergeCell ref="H23:H24"/>
    <mergeCell ref="F20:G20"/>
    <mergeCell ref="F21:G21"/>
    <mergeCell ref="F22:G22"/>
    <mergeCell ref="I26:J27"/>
    <mergeCell ref="H26:H27"/>
    <mergeCell ref="F23:G23"/>
    <mergeCell ref="F17:G17"/>
    <mergeCell ref="F18:G18"/>
    <mergeCell ref="F19:G19"/>
    <mergeCell ref="I17:J18"/>
    <mergeCell ref="I20:J21"/>
    <mergeCell ref="I23:J24"/>
    <mergeCell ref="F24:G24"/>
    <mergeCell ref="H17:H18"/>
    <mergeCell ref="H20:H21"/>
    <mergeCell ref="C17:C18"/>
    <mergeCell ref="C20:C21"/>
    <mergeCell ref="C23:C24"/>
    <mergeCell ref="E17:E18"/>
    <mergeCell ref="E20:E21"/>
    <mergeCell ref="E23:E24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euil13"/>
  <dimension ref="A1:N29"/>
  <sheetViews>
    <sheetView zoomScalePageLayoutView="0" workbookViewId="0" topLeftCell="A1">
      <selection activeCell="I35" sqref="I35"/>
    </sheetView>
  </sheetViews>
  <sheetFormatPr defaultColWidth="11.421875" defaultRowHeight="12.75"/>
  <cols>
    <col min="1" max="1" width="27.00390625" style="13" customWidth="1"/>
    <col min="2" max="2" width="11.7109375" style="13" bestFit="1" customWidth="1"/>
    <col min="3" max="3" width="11.421875" style="13" customWidth="1"/>
    <col min="4" max="4" width="10.57421875" style="53" customWidth="1"/>
    <col min="5" max="5" width="9.8515625" style="13" customWidth="1"/>
    <col min="6" max="6" width="6.57421875" style="13" customWidth="1"/>
    <col min="7" max="7" width="12.421875" style="13" customWidth="1"/>
    <col min="8" max="8" width="10.28125" style="13" customWidth="1"/>
    <col min="9" max="9" width="8.57421875" style="13" customWidth="1"/>
    <col min="10" max="10" width="11.00390625" style="13" customWidth="1"/>
    <col min="11" max="12" width="11.421875" style="13" customWidth="1"/>
    <col min="13" max="13" width="13.28125" style="53" bestFit="1" customWidth="1"/>
    <col min="14" max="16384" width="11.421875" style="13" customWidth="1"/>
  </cols>
  <sheetData>
    <row r="1" spans="2:13" s="202" customFormat="1" ht="12.75">
      <c r="B1" s="202" t="s">
        <v>29</v>
      </c>
      <c r="C1" s="202" t="s">
        <v>9</v>
      </c>
      <c r="D1" s="203" t="s">
        <v>59</v>
      </c>
      <c r="E1" s="202" t="s">
        <v>61</v>
      </c>
      <c r="F1" s="202" t="s">
        <v>60</v>
      </c>
      <c r="G1" s="202" t="s">
        <v>62</v>
      </c>
      <c r="H1" s="202" t="s">
        <v>44</v>
      </c>
      <c r="I1" s="202" t="s">
        <v>63</v>
      </c>
      <c r="J1" s="202" t="s">
        <v>45</v>
      </c>
      <c r="K1" s="202" t="s">
        <v>64</v>
      </c>
      <c r="M1" s="203"/>
    </row>
    <row r="2" spans="1:11" ht="12.75">
      <c r="A2" s="13" t="str">
        <f>'R1'!A13</f>
        <v>Impots, taxes et versement assimilés</v>
      </c>
      <c r="B2" s="53">
        <f>'R1'!C13</f>
        <v>305837</v>
      </c>
      <c r="C2" s="53">
        <f>'R1'!D13</f>
        <v>0</v>
      </c>
      <c r="D2" s="187">
        <v>0.11321</v>
      </c>
      <c r="E2" s="53">
        <f>B2/D2</f>
        <v>2701501.63413126</v>
      </c>
      <c r="F2" s="53">
        <v>12</v>
      </c>
      <c r="G2" s="53">
        <f>B2/D2/F2</f>
        <v>225125.13617760502</v>
      </c>
      <c r="H2" s="53">
        <f>SIG2!B18</f>
        <v>9238580</v>
      </c>
      <c r="I2" s="188">
        <f>B2/H2</f>
        <v>0.03310432988619463</v>
      </c>
      <c r="J2" s="53">
        <f>SIG2!B47</f>
        <v>5124355</v>
      </c>
      <c r="K2" s="188">
        <f>B2/J2</f>
        <v>0.05968302352198472</v>
      </c>
    </row>
    <row r="3" ht="12.75">
      <c r="G3" s="53"/>
    </row>
    <row r="4" spans="1:7" ht="12.75">
      <c r="A4" s="13" t="s">
        <v>1234</v>
      </c>
      <c r="B4" s="154"/>
      <c r="G4" s="53"/>
    </row>
    <row r="5" spans="1:7" ht="12.75">
      <c r="A5" s="13" t="s">
        <v>48</v>
      </c>
      <c r="B5" s="237"/>
      <c r="G5" s="53"/>
    </row>
    <row r="6" spans="1:7" ht="12.75">
      <c r="A6" s="13" t="s">
        <v>133</v>
      </c>
      <c r="B6" s="238"/>
      <c r="G6" s="53"/>
    </row>
    <row r="7" spans="1:7" ht="12.75">
      <c r="A7" s="13" t="s">
        <v>50</v>
      </c>
      <c r="B7" s="190"/>
      <c r="G7" s="53"/>
    </row>
    <row r="8" spans="1:7" ht="12.75">
      <c r="A8" s="13" t="s">
        <v>51</v>
      </c>
      <c r="B8" s="190"/>
      <c r="G8" s="53"/>
    </row>
    <row r="9" spans="1:7" ht="12.75">
      <c r="A9" s="13" t="s">
        <v>52</v>
      </c>
      <c r="B9" s="190"/>
      <c r="G9" s="53"/>
    </row>
    <row r="10" spans="2:7" ht="12.75">
      <c r="B10" s="47"/>
      <c r="C10" s="191"/>
      <c r="D10" s="47"/>
      <c r="G10" s="53"/>
    </row>
    <row r="11" spans="1:11" ht="12.75">
      <c r="A11" s="13" t="s">
        <v>53</v>
      </c>
      <c r="B11" s="192">
        <f>B2</f>
        <v>305837</v>
      </c>
      <c r="C11" s="193"/>
      <c r="D11" s="192">
        <f>B11</f>
        <v>305837</v>
      </c>
      <c r="E11" s="192"/>
      <c r="F11" s="192"/>
      <c r="G11" s="192"/>
      <c r="H11" s="192">
        <f>T_CA</f>
        <v>9238580</v>
      </c>
      <c r="I11" s="193">
        <f>D11/H11</f>
        <v>0.03310432988619463</v>
      </c>
      <c r="J11" s="192">
        <f>J2</f>
        <v>5124355</v>
      </c>
      <c r="K11" s="193">
        <f>D11/J11</f>
        <v>0.05968302352198472</v>
      </c>
    </row>
    <row r="12" spans="1:12" ht="12.75">
      <c r="A12" s="13" t="s">
        <v>49</v>
      </c>
      <c r="B12" s="194">
        <f>SIG2!B47</f>
        <v>5124355</v>
      </c>
      <c r="C12" s="195">
        <v>0.196</v>
      </c>
      <c r="D12" s="194">
        <f>B12*C12</f>
        <v>1004373.5800000001</v>
      </c>
      <c r="E12" s="194"/>
      <c r="F12" s="194"/>
      <c r="G12" s="194"/>
      <c r="H12" s="194">
        <f>T_CA</f>
        <v>9238580</v>
      </c>
      <c r="I12" s="195">
        <f>D12/H12</f>
        <v>0.108715146700034</v>
      </c>
      <c r="J12" s="194">
        <f>J11</f>
        <v>5124355</v>
      </c>
      <c r="K12" s="195">
        <f>D12/J12</f>
        <v>0.196</v>
      </c>
      <c r="L12" s="13" t="s">
        <v>457</v>
      </c>
    </row>
    <row r="13" spans="1:11" ht="12.75">
      <c r="A13" s="155" t="s">
        <v>1171</v>
      </c>
      <c r="B13" s="196">
        <f>Sal!B11</f>
        <v>1203835</v>
      </c>
      <c r="C13" s="197"/>
      <c r="D13" s="196">
        <f>B13</f>
        <v>1203835</v>
      </c>
      <c r="E13" s="196"/>
      <c r="F13" s="196"/>
      <c r="G13" s="196"/>
      <c r="H13" s="194">
        <f>T_CA</f>
        <v>9238580</v>
      </c>
      <c r="I13" s="195">
        <f>D13/H13</f>
        <v>0.1303051984179387</v>
      </c>
      <c r="J13" s="194">
        <f>J12</f>
        <v>5124355</v>
      </c>
      <c r="K13" s="195">
        <f>D13/J13</f>
        <v>0.23492420021641747</v>
      </c>
    </row>
    <row r="14" spans="1:12" ht="12.75">
      <c r="A14" s="198" t="s">
        <v>55</v>
      </c>
      <c r="B14" s="199"/>
      <c r="C14" s="198"/>
      <c r="D14" s="199">
        <f>SUM(D11:D13)</f>
        <v>2514045.58</v>
      </c>
      <c r="E14" s="198"/>
      <c r="F14" s="198"/>
      <c r="G14" s="199"/>
      <c r="H14" s="199">
        <f>T_CA</f>
        <v>9238580</v>
      </c>
      <c r="I14" s="200">
        <f>D14/H14</f>
        <v>0.2721246750041673</v>
      </c>
      <c r="J14" s="199">
        <f>J13</f>
        <v>5124355</v>
      </c>
      <c r="K14" s="200">
        <f>D14/J14</f>
        <v>0.4906072237384022</v>
      </c>
      <c r="L14" s="187"/>
    </row>
    <row r="15" spans="2:12" ht="12.75">
      <c r="B15" s="53"/>
      <c r="G15" s="53"/>
      <c r="I15" s="188"/>
      <c r="J15" s="53"/>
      <c r="K15" s="188"/>
      <c r="L15" s="187"/>
    </row>
    <row r="16" spans="2:12" ht="12.75">
      <c r="B16" s="53"/>
      <c r="G16" s="53"/>
      <c r="I16" s="188"/>
      <c r="J16" s="53"/>
      <c r="K16" s="188"/>
      <c r="L16" s="187"/>
    </row>
    <row r="17" spans="1:14" ht="12.75">
      <c r="A17" s="198" t="s">
        <v>56</v>
      </c>
      <c r="B17" s="198"/>
      <c r="C17" s="198"/>
      <c r="D17" s="199">
        <f>B12-D14</f>
        <v>2610309.42</v>
      </c>
      <c r="E17" s="198"/>
      <c r="F17" s="198"/>
      <c r="G17" s="198"/>
      <c r="H17" s="198"/>
      <c r="I17" s="198"/>
      <c r="J17" s="199"/>
      <c r="K17" s="200"/>
      <c r="L17" s="201"/>
      <c r="N17" s="53"/>
    </row>
    <row r="18" ht="12" customHeight="1"/>
    <row r="19" spans="1:5" ht="12.75">
      <c r="A19" s="8"/>
      <c r="B19" s="8"/>
      <c r="C19" s="189"/>
      <c r="D19" s="47"/>
      <c r="E19" s="8"/>
    </row>
    <row r="20" spans="1:5" ht="12.75">
      <c r="A20" s="1486"/>
      <c r="B20" s="1528"/>
      <c r="C20" s="1528"/>
      <c r="D20" s="1528"/>
      <c r="E20" s="1487"/>
    </row>
    <row r="21" spans="1:5" ht="12.75">
      <c r="A21" s="262" t="s">
        <v>81</v>
      </c>
      <c r="B21" s="69" t="s">
        <v>44</v>
      </c>
      <c r="C21" s="263" t="s">
        <v>65</v>
      </c>
      <c r="D21" s="1484" t="s">
        <v>158</v>
      </c>
      <c r="E21" s="1485"/>
    </row>
    <row r="22" spans="1:5" ht="12.75">
      <c r="A22" s="29" t="s">
        <v>1181</v>
      </c>
      <c r="B22" s="47">
        <f>T_CA</f>
        <v>9238580</v>
      </c>
      <c r="C22" s="47"/>
      <c r="D22" s="48"/>
      <c r="E22" s="23"/>
    </row>
    <row r="23" spans="1:5" ht="12.75">
      <c r="A23" s="29" t="s">
        <v>157</v>
      </c>
      <c r="B23" s="47"/>
      <c r="C23" s="47">
        <f>SIG0!H70</f>
        <v>3797640</v>
      </c>
      <c r="D23" s="48"/>
      <c r="E23" s="23"/>
    </row>
    <row r="24" spans="1:5" ht="12.75">
      <c r="A24" s="29"/>
      <c r="B24" s="47">
        <f>SUM(B22:B23)</f>
        <v>9238580</v>
      </c>
      <c r="C24" s="47">
        <f>SUM(C22:C23)</f>
        <v>3797640</v>
      </c>
      <c r="D24" s="29"/>
      <c r="E24" s="46">
        <f>B24-C24</f>
        <v>5440940</v>
      </c>
    </row>
    <row r="25" spans="1:5" ht="12.75">
      <c r="A25" s="29"/>
      <c r="B25" s="47"/>
      <c r="C25" s="47"/>
      <c r="D25" s="29"/>
      <c r="E25" s="46"/>
    </row>
    <row r="26" spans="1:5" ht="12.75">
      <c r="A26" s="29" t="s">
        <v>66</v>
      </c>
      <c r="B26" s="47">
        <f>B24*19.6%</f>
        <v>1810761.6800000002</v>
      </c>
      <c r="C26" s="8"/>
      <c r="D26" s="29"/>
      <c r="E26" s="23"/>
    </row>
    <row r="27" spans="1:5" ht="12.75">
      <c r="A27" s="29" t="s">
        <v>67</v>
      </c>
      <c r="B27" s="8"/>
      <c r="C27" s="47">
        <f>C24*19.6%</f>
        <v>744337.4400000001</v>
      </c>
      <c r="D27" s="48"/>
      <c r="E27" s="23"/>
    </row>
    <row r="28" spans="1:8" ht="12.75">
      <c r="A28" s="29" t="s">
        <v>458</v>
      </c>
      <c r="B28" s="8"/>
      <c r="C28" s="8"/>
      <c r="D28" s="48">
        <f>B26-C27</f>
        <v>1066424.2400000002</v>
      </c>
      <c r="E28" s="23">
        <f>E24*19.6%</f>
        <v>1066424.24</v>
      </c>
      <c r="F28" s="794"/>
      <c r="G28" s="795"/>
      <c r="H28" s="795"/>
    </row>
    <row r="29" spans="1:5" ht="12.75">
      <c r="A29" s="30"/>
      <c r="B29" s="155"/>
      <c r="C29" s="155"/>
      <c r="D29" s="261"/>
      <c r="E29" s="31"/>
    </row>
  </sheetData>
  <sheetProtection/>
  <mergeCells count="2">
    <mergeCell ref="D21:E21"/>
    <mergeCell ref="A20:E20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E19" sqref="E19"/>
    </sheetView>
  </sheetViews>
  <sheetFormatPr defaultColWidth="11.421875" defaultRowHeight="12.75"/>
  <cols>
    <col min="1" max="1" width="34.00390625" style="0" customWidth="1"/>
    <col min="5" max="5" width="34.57421875" style="0" customWidth="1"/>
  </cols>
  <sheetData>
    <row r="1" spans="1:5" ht="12.75">
      <c r="A1" t="s">
        <v>856</v>
      </c>
      <c r="E1" t="s">
        <v>863</v>
      </c>
    </row>
    <row r="2" spans="1:5" ht="12.75">
      <c r="A2" t="s">
        <v>554</v>
      </c>
      <c r="E2" t="s">
        <v>864</v>
      </c>
    </row>
    <row r="3" spans="1:5" ht="12.75">
      <c r="A3" s="1198" t="s">
        <v>857</v>
      </c>
      <c r="E3" t="s">
        <v>865</v>
      </c>
    </row>
    <row r="4" spans="1:5" ht="12.75">
      <c r="A4" s="1198" t="s">
        <v>858</v>
      </c>
      <c r="E4" t="s">
        <v>866</v>
      </c>
    </row>
    <row r="5" spans="1:5" ht="12.75">
      <c r="A5" t="s">
        <v>555</v>
      </c>
      <c r="E5" t="s">
        <v>867</v>
      </c>
    </row>
    <row r="6" spans="1:5" ht="12.75">
      <c r="A6" t="s">
        <v>859</v>
      </c>
      <c r="E6" t="s">
        <v>868</v>
      </c>
    </row>
    <row r="7" ht="12.75">
      <c r="A7" t="s">
        <v>1288</v>
      </c>
    </row>
    <row r="8" spans="1:5" ht="12.75">
      <c r="A8" t="s">
        <v>675</v>
      </c>
      <c r="E8" t="s">
        <v>396</v>
      </c>
    </row>
    <row r="9" ht="12.75">
      <c r="A9" t="s">
        <v>676</v>
      </c>
    </row>
    <row r="10" ht="12.75">
      <c r="E10" t="s">
        <v>869</v>
      </c>
    </row>
    <row r="11" spans="1:5" ht="12.75">
      <c r="A11" t="s">
        <v>523</v>
      </c>
      <c r="E11" t="s">
        <v>870</v>
      </c>
    </row>
    <row r="12" spans="1:5" ht="12.75">
      <c r="A12" t="s">
        <v>860</v>
      </c>
      <c r="E12" t="s">
        <v>871</v>
      </c>
    </row>
    <row r="13" spans="1:5" ht="12.75">
      <c r="A13" t="s">
        <v>861</v>
      </c>
      <c r="E13" t="s">
        <v>296</v>
      </c>
    </row>
    <row r="14" spans="1:5" ht="12.75">
      <c r="A14" t="s">
        <v>220</v>
      </c>
      <c r="E14" t="s">
        <v>872</v>
      </c>
    </row>
    <row r="15" ht="12.75">
      <c r="A15" t="s">
        <v>221</v>
      </c>
    </row>
    <row r="16" ht="12.75">
      <c r="A16" t="s">
        <v>223</v>
      </c>
    </row>
    <row r="18" spans="1:5" ht="12.75">
      <c r="A18" t="s">
        <v>862</v>
      </c>
      <c r="E18" t="s">
        <v>873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Feuil16"/>
  <dimension ref="B1:AC293"/>
  <sheetViews>
    <sheetView showZeros="0" zoomScalePageLayoutView="0" workbookViewId="0" topLeftCell="A262">
      <selection activeCell="B22" sqref="B22"/>
    </sheetView>
  </sheetViews>
  <sheetFormatPr defaultColWidth="11.421875" defaultRowHeight="12.75"/>
  <cols>
    <col min="1" max="1" width="1.7109375" style="13" customWidth="1"/>
    <col min="2" max="2" width="30.421875" style="13" customWidth="1"/>
    <col min="3" max="3" width="12.7109375" style="53" bestFit="1" customWidth="1"/>
    <col min="4" max="4" width="11.8515625" style="53" customWidth="1"/>
    <col min="5" max="5" width="11.7109375" style="53" bestFit="1" customWidth="1"/>
    <col min="6" max="6" width="17.7109375" style="53" customWidth="1"/>
    <col min="7" max="7" width="11.7109375" style="53" bestFit="1" customWidth="1"/>
    <col min="8" max="8" width="13.57421875" style="53" customWidth="1"/>
    <col min="9" max="10" width="11.421875" style="13" customWidth="1"/>
    <col min="11" max="11" width="22.7109375" style="13" customWidth="1"/>
    <col min="12" max="14" width="11.421875" style="13" customWidth="1"/>
    <col min="15" max="15" width="26.140625" style="13" customWidth="1"/>
    <col min="16" max="17" width="11.421875" style="187" customWidth="1"/>
    <col min="18" max="16384" width="11.421875" style="13" customWidth="1"/>
  </cols>
  <sheetData>
    <row r="1" spans="2:8" ht="12.75">
      <c r="B1" s="2051" t="s">
        <v>595</v>
      </c>
      <c r="C1" s="2052"/>
      <c r="D1" s="2052"/>
      <c r="E1" s="2052"/>
      <c r="F1" s="2052"/>
      <c r="G1" s="2052"/>
      <c r="H1" s="2053"/>
    </row>
    <row r="2" spans="2:8" ht="12.75">
      <c r="B2" s="1486" t="s">
        <v>271</v>
      </c>
      <c r="C2" s="1528"/>
      <c r="D2" s="1486" t="s">
        <v>565</v>
      </c>
      <c r="E2" s="1528"/>
      <c r="F2" s="1528"/>
      <c r="G2" s="1528"/>
      <c r="H2" s="1487"/>
    </row>
    <row r="3" spans="2:9" ht="12.75">
      <c r="B3" s="32"/>
      <c r="C3" s="32" t="s">
        <v>662</v>
      </c>
      <c r="D3" s="33" t="s">
        <v>9</v>
      </c>
      <c r="E3" s="730"/>
      <c r="F3" s="730"/>
      <c r="G3" s="32" t="s">
        <v>29</v>
      </c>
      <c r="H3" s="28" t="s">
        <v>9</v>
      </c>
      <c r="I3" s="767" t="s">
        <v>645</v>
      </c>
    </row>
    <row r="4" spans="2:9" ht="12.75">
      <c r="B4" s="274" t="s">
        <v>554</v>
      </c>
      <c r="C4" s="364">
        <f>B!D15</f>
        <v>23500</v>
      </c>
      <c r="D4" s="364"/>
      <c r="E4" s="768" t="s">
        <v>616</v>
      </c>
      <c r="F4" s="768"/>
      <c r="G4" s="364">
        <f>B!J8</f>
        <v>992000</v>
      </c>
      <c r="H4" s="364"/>
      <c r="I4" s="767" t="s">
        <v>646</v>
      </c>
    </row>
    <row r="5" spans="2:9" ht="12.75">
      <c r="B5" s="29" t="s">
        <v>555</v>
      </c>
      <c r="C5" s="67">
        <f>B!D22</f>
        <v>940530</v>
      </c>
      <c r="D5" s="67"/>
      <c r="E5" s="386" t="s">
        <v>567</v>
      </c>
      <c r="F5" s="386"/>
      <c r="G5" s="67">
        <f>B!J14</f>
        <v>152180</v>
      </c>
      <c r="H5" s="67"/>
      <c r="I5" s="767" t="s">
        <v>647</v>
      </c>
    </row>
    <row r="6" spans="2:9" ht="12.75">
      <c r="B6" s="29" t="s">
        <v>574</v>
      </c>
      <c r="C6" s="67">
        <f>C4+C5</f>
        <v>964030</v>
      </c>
      <c r="D6" s="67"/>
      <c r="E6" s="386" t="s">
        <v>1047</v>
      </c>
      <c r="F6" s="386"/>
      <c r="G6" s="67">
        <f>B!J16</f>
        <v>19708</v>
      </c>
      <c r="H6" s="67"/>
      <c r="I6" s="767" t="s">
        <v>649</v>
      </c>
    </row>
    <row r="7" spans="2:9" ht="12.75">
      <c r="B7" s="29" t="s">
        <v>554</v>
      </c>
      <c r="C7" s="67">
        <f>B!D29</f>
        <v>161000</v>
      </c>
      <c r="D7" s="67"/>
      <c r="E7" s="386" t="s">
        <v>568</v>
      </c>
      <c r="F7" s="386"/>
      <c r="G7" s="67">
        <f>B!J18</f>
        <v>245656</v>
      </c>
      <c r="H7" s="67"/>
      <c r="I7" s="767" t="s">
        <v>650</v>
      </c>
    </row>
    <row r="8" spans="2:9" ht="12.75">
      <c r="B8" s="504" t="s">
        <v>556</v>
      </c>
      <c r="C8" s="505">
        <f>SUM(C4:C7)</f>
        <v>2089060</v>
      </c>
      <c r="D8" s="67"/>
      <c r="E8" s="386" t="s">
        <v>569</v>
      </c>
      <c r="F8" s="386"/>
      <c r="G8" s="67">
        <f>B!J23</f>
        <v>28520</v>
      </c>
      <c r="H8" s="67"/>
      <c r="I8" s="767" t="s">
        <v>651</v>
      </c>
    </row>
    <row r="9" spans="2:8" ht="12.75">
      <c r="B9" s="29" t="s">
        <v>557</v>
      </c>
      <c r="C9" s="67">
        <f>B!D40</f>
        <v>1703880</v>
      </c>
      <c r="D9" s="67"/>
      <c r="E9" s="386"/>
      <c r="F9" s="386"/>
      <c r="G9" s="67">
        <f>B!J29</f>
        <v>3000</v>
      </c>
      <c r="H9" s="67"/>
    </row>
    <row r="10" spans="2:8" ht="12.75">
      <c r="B10" s="29" t="s">
        <v>558</v>
      </c>
      <c r="C10" s="67">
        <f>B!D47</f>
        <v>2170408</v>
      </c>
      <c r="D10" s="67"/>
      <c r="E10" s="769" t="s">
        <v>570</v>
      </c>
      <c r="F10" s="769"/>
      <c r="G10" s="505">
        <f>SUM(G4:G9)</f>
        <v>1441064</v>
      </c>
      <c r="H10" s="505"/>
    </row>
    <row r="11" spans="2:9" ht="12.75">
      <c r="B11" s="29" t="s">
        <v>268</v>
      </c>
      <c r="C11" s="67">
        <f>B!D51</f>
        <v>263800</v>
      </c>
      <c r="D11" s="67"/>
      <c r="E11" s="386" t="s">
        <v>961</v>
      </c>
      <c r="F11" s="386"/>
      <c r="G11" s="67">
        <f>B!J47</f>
        <v>3896554</v>
      </c>
      <c r="H11" s="67"/>
      <c r="I11" s="202"/>
    </row>
    <row r="12" spans="2:8" ht="12.75">
      <c r="B12" s="29" t="s">
        <v>559</v>
      </c>
      <c r="C12" s="67">
        <f>B!D50</f>
        <v>13000</v>
      </c>
      <c r="D12" s="67"/>
      <c r="E12" s="386" t="s">
        <v>269</v>
      </c>
      <c r="F12" s="386"/>
      <c r="G12" s="67"/>
      <c r="H12" s="67"/>
    </row>
    <row r="13" spans="2:8" ht="12.75">
      <c r="B13" s="72" t="s">
        <v>560</v>
      </c>
      <c r="C13" s="393">
        <f>C12+C11</f>
        <v>276800</v>
      </c>
      <c r="D13" s="67"/>
      <c r="E13" s="770"/>
      <c r="F13" s="770"/>
      <c r="G13" s="393"/>
      <c r="H13" s="67"/>
    </row>
    <row r="14" spans="2:8" ht="12.75">
      <c r="B14" s="29" t="s">
        <v>561</v>
      </c>
      <c r="C14" s="67">
        <f>B!D53</f>
        <v>0</v>
      </c>
      <c r="D14" s="771"/>
      <c r="E14" s="386" t="s">
        <v>573</v>
      </c>
      <c r="F14" s="386"/>
      <c r="G14" s="67"/>
      <c r="H14" s="67"/>
    </row>
    <row r="15" spans="2:8" ht="12.75">
      <c r="B15" s="504" t="s">
        <v>563</v>
      </c>
      <c r="C15" s="505">
        <f>C14+C13+C10</f>
        <v>2447208</v>
      </c>
      <c r="D15" s="771"/>
      <c r="E15" s="386"/>
      <c r="F15" s="386"/>
      <c r="G15" s="67"/>
      <c r="H15" s="67"/>
    </row>
    <row r="16" spans="2:8" ht="12.75">
      <c r="B16" s="29" t="s">
        <v>562</v>
      </c>
      <c r="C16" s="67">
        <f>B!D58</f>
        <v>22000</v>
      </c>
      <c r="D16" s="771"/>
      <c r="E16" s="386" t="s">
        <v>572</v>
      </c>
      <c r="F16" s="386"/>
      <c r="G16" s="67">
        <f>B!J56</f>
        <v>500</v>
      </c>
      <c r="H16" s="67"/>
    </row>
    <row r="17" spans="2:8" ht="12.75">
      <c r="B17" s="506" t="s">
        <v>564</v>
      </c>
      <c r="C17" s="772">
        <f>C15+C8</f>
        <v>4536268</v>
      </c>
      <c r="D17" s="773"/>
      <c r="E17" s="774" t="s">
        <v>571</v>
      </c>
      <c r="F17" s="774"/>
      <c r="G17" s="772"/>
      <c r="H17" s="772"/>
    </row>
    <row r="18" ht="12.75">
      <c r="I18" s="202"/>
    </row>
    <row r="19" spans="2:9" ht="12.75">
      <c r="B19" s="2051" t="s">
        <v>596</v>
      </c>
      <c r="C19" s="2052"/>
      <c r="D19" s="2052"/>
      <c r="E19" s="2052"/>
      <c r="F19" s="2052"/>
      <c r="G19" s="2052"/>
      <c r="H19" s="2053"/>
      <c r="I19" s="202"/>
    </row>
    <row r="20" spans="2:9" ht="12.75">
      <c r="B20" s="1486" t="s">
        <v>271</v>
      </c>
      <c r="C20" s="1528"/>
      <c r="D20" s="1528"/>
      <c r="E20" s="1528" t="s">
        <v>1276</v>
      </c>
      <c r="F20" s="1528"/>
      <c r="G20" s="1528"/>
      <c r="H20" s="1487"/>
      <c r="I20" s="202"/>
    </row>
    <row r="21" spans="2:9" ht="12.75">
      <c r="B21" s="32"/>
      <c r="C21" s="32"/>
      <c r="D21" s="33"/>
      <c r="E21" s="730"/>
      <c r="F21" s="730"/>
      <c r="G21" s="32"/>
      <c r="H21" s="28"/>
      <c r="I21" s="202"/>
    </row>
    <row r="22" spans="2:10" ht="12.75">
      <c r="B22" s="775" t="s">
        <v>1064</v>
      </c>
      <c r="C22" s="776">
        <f>AchatMses</f>
        <v>0</v>
      </c>
      <c r="D22" s="777"/>
      <c r="E22" s="1467" t="s">
        <v>766</v>
      </c>
      <c r="F22" s="1195"/>
      <c r="G22" s="776">
        <f>VteMses+ProdBiensVendu</f>
        <v>9238580</v>
      </c>
      <c r="H22" s="1465"/>
      <c r="J22" s="53"/>
    </row>
    <row r="23" spans="2:10" ht="12.75">
      <c r="B23" s="363" t="s">
        <v>763</v>
      </c>
      <c r="C23" s="68">
        <f>AchatMat1ères</f>
        <v>3753000</v>
      </c>
      <c r="D23" s="63"/>
      <c r="E23" s="778" t="s">
        <v>767</v>
      </c>
      <c r="F23" s="1196"/>
      <c r="G23" s="68"/>
      <c r="H23" s="64"/>
      <c r="J23" s="53"/>
    </row>
    <row r="24" spans="2:10" ht="12.75">
      <c r="B24" s="363" t="s">
        <v>764</v>
      </c>
      <c r="C24" s="68">
        <f>StockMses</f>
        <v>0</v>
      </c>
      <c r="D24" s="63"/>
      <c r="E24" s="778" t="s">
        <v>768</v>
      </c>
      <c r="F24" s="1196"/>
      <c r="G24" s="68">
        <f>ProdServiceVendu</f>
        <v>0</v>
      </c>
      <c r="H24" s="64"/>
      <c r="J24" s="53"/>
    </row>
    <row r="25" spans="2:10" ht="12.75">
      <c r="B25" s="363" t="s">
        <v>765</v>
      </c>
      <c r="C25" s="68">
        <f>StockMat1ères</f>
        <v>44640</v>
      </c>
      <c r="D25" s="63"/>
      <c r="E25" s="778" t="s">
        <v>769</v>
      </c>
      <c r="F25" s="1196"/>
      <c r="G25" s="68"/>
      <c r="H25" s="64"/>
      <c r="J25" s="53"/>
    </row>
    <row r="26" spans="2:10" ht="12.75">
      <c r="B26" s="363" t="s">
        <v>773</v>
      </c>
      <c r="C26" s="68">
        <f>Achat_Charges_externes</f>
        <v>463270</v>
      </c>
      <c r="D26" s="63"/>
      <c r="E26" s="778"/>
      <c r="F26" s="1196"/>
      <c r="G26" s="68"/>
      <c r="H26" s="64"/>
      <c r="J26" s="53"/>
    </row>
    <row r="27" spans="2:10" ht="12.75">
      <c r="B27" s="363" t="str">
        <f>'R1'!A13</f>
        <v>Impots, taxes et versement assimilés</v>
      </c>
      <c r="C27" s="68">
        <f>Impot_Taxe_Versmt</f>
        <v>305837</v>
      </c>
      <c r="D27" s="63"/>
      <c r="E27" s="48" t="s">
        <v>3</v>
      </c>
      <c r="F27" s="47"/>
      <c r="G27" s="67">
        <f>ProdStock</f>
        <v>122385</v>
      </c>
      <c r="H27" s="64"/>
      <c r="J27" s="53"/>
    </row>
    <row r="28" spans="2:10" ht="12.75">
      <c r="B28" s="363" t="s">
        <v>770</v>
      </c>
      <c r="C28" s="68">
        <f>Charges_sociales+Salaire_traitements</f>
        <v>4026485</v>
      </c>
      <c r="D28" s="63"/>
      <c r="E28" s="48" t="s">
        <v>1001</v>
      </c>
      <c r="F28" s="47"/>
      <c r="G28" s="67">
        <f>ProdImmo</f>
        <v>14300</v>
      </c>
      <c r="H28" s="64"/>
      <c r="J28" s="53"/>
    </row>
    <row r="29" spans="2:10" ht="12.75">
      <c r="B29" s="363" t="s">
        <v>775</v>
      </c>
      <c r="C29" s="68">
        <f>Dot_Ammt_Immo+Dot_Amm_AC</f>
        <v>134760</v>
      </c>
      <c r="D29" s="63"/>
      <c r="E29" s="778" t="s">
        <v>2</v>
      </c>
      <c r="F29" s="1196"/>
      <c r="G29" s="67"/>
      <c r="H29" s="64"/>
      <c r="J29" s="53"/>
    </row>
    <row r="30" spans="2:10" ht="12.75">
      <c r="B30" s="363" t="s">
        <v>340</v>
      </c>
      <c r="C30" s="68">
        <f>Dot_Prov_AC+Dot_Prov_Immo</f>
        <v>3000</v>
      </c>
      <c r="D30" s="63"/>
      <c r="E30" s="778"/>
      <c r="F30" s="1196"/>
      <c r="G30" s="67">
        <f>RepriseAmmProvTransfertChge</f>
        <v>47500</v>
      </c>
      <c r="H30" s="64"/>
      <c r="J30" s="53"/>
    </row>
    <row r="31" spans="2:10" ht="12.75">
      <c r="B31" s="363" t="s">
        <v>1226</v>
      </c>
      <c r="C31" s="68"/>
      <c r="D31" s="63"/>
      <c r="E31" s="778" t="s">
        <v>4</v>
      </c>
      <c r="F31" s="1196"/>
      <c r="G31" s="68">
        <f>AutreProduit</f>
        <v>32350</v>
      </c>
      <c r="H31" s="64"/>
      <c r="J31" s="53"/>
    </row>
    <row r="32" spans="2:10" ht="12.75">
      <c r="B32" s="363" t="s">
        <v>771</v>
      </c>
      <c r="C32" s="68">
        <f>'R1'!C27</f>
        <v>0</v>
      </c>
      <c r="D32" s="63"/>
      <c r="E32" s="778" t="s">
        <v>1004</v>
      </c>
      <c r="F32" s="8"/>
      <c r="G32" s="14"/>
      <c r="H32" s="64"/>
      <c r="J32" s="53"/>
    </row>
    <row r="33" spans="2:10" ht="12.75">
      <c r="B33" s="363" t="s">
        <v>1227</v>
      </c>
      <c r="C33" s="68">
        <f>'R1'!C38</f>
        <v>316870</v>
      </c>
      <c r="D33" s="778"/>
      <c r="E33" s="778" t="s">
        <v>0</v>
      </c>
      <c r="F33" s="1196"/>
      <c r="G33" s="68"/>
      <c r="H33" s="64"/>
      <c r="J33" s="53"/>
    </row>
    <row r="34" spans="2:10" ht="12.75">
      <c r="B34" s="363" t="s">
        <v>772</v>
      </c>
      <c r="C34" s="68">
        <f>'R1'!C47</f>
        <v>136242</v>
      </c>
      <c r="D34" s="778"/>
      <c r="E34" s="778" t="s">
        <v>1</v>
      </c>
      <c r="F34" s="1196"/>
      <c r="G34" s="68"/>
      <c r="H34" s="64"/>
      <c r="J34" s="53"/>
    </row>
    <row r="35" spans="2:10" ht="12.75">
      <c r="B35" s="363" t="s">
        <v>774</v>
      </c>
      <c r="C35" s="68"/>
      <c r="D35" s="778"/>
      <c r="E35" s="778"/>
      <c r="F35" s="1196"/>
      <c r="G35" s="68"/>
      <c r="H35" s="64"/>
      <c r="J35" s="53"/>
    </row>
    <row r="36" spans="2:8" ht="12.75">
      <c r="B36" s="363" t="s">
        <v>776</v>
      </c>
      <c r="C36" s="68"/>
      <c r="D36" s="778"/>
      <c r="E36" s="778"/>
      <c r="F36" s="1196"/>
      <c r="G36" s="68"/>
      <c r="H36" s="64"/>
    </row>
    <row r="37" spans="2:8" ht="12.75">
      <c r="B37" s="439"/>
      <c r="C37" s="779"/>
      <c r="D37" s="780"/>
      <c r="E37" s="780"/>
      <c r="F37" s="1197"/>
      <c r="G37" s="779"/>
      <c r="H37" s="1466"/>
    </row>
    <row r="39" spans="2:28" s="736" customFormat="1" ht="12">
      <c r="B39" s="2044" t="s">
        <v>983</v>
      </c>
      <c r="C39" s="2045"/>
      <c r="D39" s="2045"/>
      <c r="E39" s="2045"/>
      <c r="F39" s="2045"/>
      <c r="G39" s="2045"/>
      <c r="H39" s="2046"/>
      <c r="K39" s="737"/>
      <c r="L39" s="737"/>
      <c r="M39" s="738"/>
      <c r="N39" s="738"/>
      <c r="O39" s="737"/>
      <c r="P39" s="895"/>
      <c r="Q39" s="884"/>
      <c r="R39" s="739"/>
      <c r="S39" s="2037" t="s">
        <v>1275</v>
      </c>
      <c r="T39" s="2038"/>
      <c r="U39" s="2037" t="s">
        <v>1276</v>
      </c>
      <c r="V39" s="2038"/>
      <c r="W39" s="738"/>
      <c r="X39" s="738"/>
      <c r="Y39" s="738"/>
      <c r="Z39" s="738"/>
      <c r="AA39" s="738"/>
      <c r="AB39" s="739"/>
    </row>
    <row r="40" spans="2:28" s="736" customFormat="1" ht="12">
      <c r="B40" s="2041" t="s">
        <v>271</v>
      </c>
      <c r="C40" s="2042"/>
      <c r="D40" s="2041" t="s">
        <v>565</v>
      </c>
      <c r="E40" s="2042"/>
      <c r="F40" s="2042"/>
      <c r="G40" s="2042"/>
      <c r="H40" s="2043"/>
      <c r="K40" s="748"/>
      <c r="L40" s="740"/>
      <c r="M40" s="741"/>
      <c r="N40" s="741"/>
      <c r="O40" s="740"/>
      <c r="P40" s="896"/>
      <c r="Q40" s="886"/>
      <c r="R40" s="742"/>
      <c r="S40" s="740"/>
      <c r="T40" s="742"/>
      <c r="U40" s="740"/>
      <c r="V40" s="742"/>
      <c r="W40" s="741"/>
      <c r="X40" s="741"/>
      <c r="Y40" s="752"/>
      <c r="Z40" s="752"/>
      <c r="AA40" s="741"/>
      <c r="AB40" s="742"/>
    </row>
    <row r="41" spans="2:28" s="736" customFormat="1" ht="12">
      <c r="B41" s="743"/>
      <c r="C41" s="732" t="s">
        <v>660</v>
      </c>
      <c r="D41" s="743" t="s">
        <v>661</v>
      </c>
      <c r="E41" s="733"/>
      <c r="F41" s="735"/>
      <c r="G41" s="732" t="s">
        <v>660</v>
      </c>
      <c r="H41" s="732" t="s">
        <v>661</v>
      </c>
      <c r="K41" s="748"/>
      <c r="L41" s="733" t="s">
        <v>693</v>
      </c>
      <c r="M41" s="733" t="s">
        <v>657</v>
      </c>
      <c r="N41" s="734" t="s">
        <v>501</v>
      </c>
      <c r="O41" s="743"/>
      <c r="P41" s="897" t="s">
        <v>693</v>
      </c>
      <c r="Q41" s="894" t="s">
        <v>657</v>
      </c>
      <c r="R41" s="735" t="s">
        <v>501</v>
      </c>
      <c r="S41" s="899">
        <v>0.055</v>
      </c>
      <c r="T41" s="900">
        <v>0.196</v>
      </c>
      <c r="U41" s="899">
        <f>TVA_5_5</f>
        <v>0.055</v>
      </c>
      <c r="V41" s="900">
        <f>TVA_19_6</f>
        <v>0.196</v>
      </c>
      <c r="W41" s="744" t="s">
        <v>694</v>
      </c>
      <c r="X41" s="744"/>
      <c r="Y41" s="899"/>
      <c r="Z41" s="900" t="str">
        <f>W41</f>
        <v>Par défaut</v>
      </c>
      <c r="AA41" s="744"/>
      <c r="AB41" s="735" t="s">
        <v>658</v>
      </c>
    </row>
    <row r="42" spans="2:28" s="736" customFormat="1" ht="12">
      <c r="B42" s="737" t="s">
        <v>554</v>
      </c>
      <c r="C42" s="745">
        <f>X42</f>
        <v>4606</v>
      </c>
      <c r="D42" s="548"/>
      <c r="E42" s="905" t="s">
        <v>616</v>
      </c>
      <c r="F42" s="907"/>
      <c r="G42" s="745">
        <f>Z42</f>
        <v>194432</v>
      </c>
      <c r="H42" s="549"/>
      <c r="K42" s="748" t="str">
        <f>B42</f>
        <v>Immobilisation incorporelle</v>
      </c>
      <c r="L42" s="883">
        <f>C4</f>
        <v>23500</v>
      </c>
      <c r="M42" s="884"/>
      <c r="N42" s="747"/>
      <c r="O42" s="750" t="str">
        <f>E42</f>
        <v>Capitaux permanents</v>
      </c>
      <c r="P42" s="898">
        <f>G4</f>
        <v>992000</v>
      </c>
      <c r="Q42" s="884"/>
      <c r="R42" s="901"/>
      <c r="S42" s="746"/>
      <c r="T42" s="739"/>
      <c r="U42" s="737"/>
      <c r="V42" s="739"/>
      <c r="W42" s="738">
        <f>IF(AND(M42=0,N42),L42)</f>
        <v>23500</v>
      </c>
      <c r="X42" s="738">
        <f aca="true" t="shared" si="0" ref="X42:X55">W42*TVA_19_6</f>
        <v>4606</v>
      </c>
      <c r="Y42" s="541">
        <f>G4</f>
        <v>992000</v>
      </c>
      <c r="Z42" s="753">
        <f aca="true" t="shared" si="1" ref="Z42:Z55">+Y42*TVA_19_6</f>
        <v>194432</v>
      </c>
      <c r="AA42" s="738"/>
      <c r="AB42" s="739"/>
    </row>
    <row r="43" spans="2:28" s="736" customFormat="1" ht="12">
      <c r="B43" s="748" t="s">
        <v>555</v>
      </c>
      <c r="C43" s="749">
        <f>X43</f>
        <v>184343.88</v>
      </c>
      <c r="D43" s="541"/>
      <c r="E43" s="905" t="str">
        <f aca="true" t="shared" si="2" ref="E43:E48">E5</f>
        <v>Réserves</v>
      </c>
      <c r="F43" s="907"/>
      <c r="G43" s="749">
        <f>Z43</f>
        <v>29827.280000000002</v>
      </c>
      <c r="H43" s="540"/>
      <c r="K43" s="748" t="str">
        <f aca="true" t="shared" si="3" ref="K43:K56">B43</f>
        <v>Immobilisation corporelle</v>
      </c>
      <c r="L43" s="883">
        <f aca="true" t="shared" si="4" ref="L43:L55">C5</f>
        <v>940530</v>
      </c>
      <c r="M43" s="885"/>
      <c r="N43" s="751"/>
      <c r="O43" s="750" t="str">
        <f aca="true" t="shared" si="5" ref="O43:O55">E43</f>
        <v>Réserves</v>
      </c>
      <c r="P43" s="898">
        <f aca="true" t="shared" si="6" ref="P43:P55">G5</f>
        <v>152180</v>
      </c>
      <c r="Q43" s="885"/>
      <c r="R43" s="902"/>
      <c r="S43" s="750"/>
      <c r="T43" s="753"/>
      <c r="U43" s="748"/>
      <c r="V43" s="753"/>
      <c r="W43" s="738">
        <f aca="true" t="shared" si="7" ref="W43:W55">IF(AND(M43=0,N43),L43)</f>
        <v>940530</v>
      </c>
      <c r="X43" s="738">
        <f t="shared" si="0"/>
        <v>184343.88</v>
      </c>
      <c r="Y43" s="541">
        <f aca="true" t="shared" si="8" ref="Y43:Y55">G5</f>
        <v>152180</v>
      </c>
      <c r="Z43" s="753">
        <f t="shared" si="1"/>
        <v>29827.280000000002</v>
      </c>
      <c r="AA43" s="752"/>
      <c r="AB43" s="753"/>
    </row>
    <row r="44" spans="2:28" s="736" customFormat="1" ht="12">
      <c r="B44" s="748" t="s">
        <v>554</v>
      </c>
      <c r="C44" s="749">
        <f>X44</f>
        <v>188949.88</v>
      </c>
      <c r="D44" s="541"/>
      <c r="E44" s="905" t="str">
        <f t="shared" si="2"/>
        <v>Report à nouveau</v>
      </c>
      <c r="F44" s="907"/>
      <c r="G44" s="749">
        <f>Z44</f>
        <v>3862.768</v>
      </c>
      <c r="H44" s="540"/>
      <c r="K44" s="748" t="str">
        <f t="shared" si="3"/>
        <v>Immobilisation incorporelle</v>
      </c>
      <c r="L44" s="883">
        <f t="shared" si="4"/>
        <v>964030</v>
      </c>
      <c r="M44" s="885"/>
      <c r="N44" s="751"/>
      <c r="O44" s="750" t="str">
        <f t="shared" si="5"/>
        <v>Report à nouveau</v>
      </c>
      <c r="P44" s="898">
        <f t="shared" si="6"/>
        <v>19708</v>
      </c>
      <c r="Q44" s="885"/>
      <c r="R44" s="902"/>
      <c r="S44" s="750"/>
      <c r="T44" s="753"/>
      <c r="U44" s="748"/>
      <c r="V44" s="753"/>
      <c r="W44" s="738">
        <f t="shared" si="7"/>
        <v>964030</v>
      </c>
      <c r="X44" s="738">
        <f t="shared" si="0"/>
        <v>188949.88</v>
      </c>
      <c r="Y44" s="541">
        <f t="shared" si="8"/>
        <v>19708</v>
      </c>
      <c r="Z44" s="753">
        <f t="shared" si="1"/>
        <v>3862.768</v>
      </c>
      <c r="AA44" s="752"/>
      <c r="AB44" s="753"/>
    </row>
    <row r="45" spans="2:28" s="736" customFormat="1" ht="12">
      <c r="B45" s="754" t="s">
        <v>556</v>
      </c>
      <c r="C45" s="755">
        <f>SUM(C42:C44)</f>
        <v>377899.76</v>
      </c>
      <c r="D45" s="793"/>
      <c r="E45" s="905" t="str">
        <f t="shared" si="2"/>
        <v>Résultat de l'exercice</v>
      </c>
      <c r="F45" s="907"/>
      <c r="G45" s="749">
        <f>Z45</f>
        <v>48148.576</v>
      </c>
      <c r="H45" s="540"/>
      <c r="K45" s="748" t="str">
        <f t="shared" si="3"/>
        <v>Total des Immobilisation</v>
      </c>
      <c r="L45" s="883">
        <f t="shared" si="4"/>
        <v>161000</v>
      </c>
      <c r="M45" s="885"/>
      <c r="N45" s="751"/>
      <c r="O45" s="750" t="str">
        <f t="shared" si="5"/>
        <v>Résultat de l'exercice</v>
      </c>
      <c r="P45" s="898">
        <f t="shared" si="6"/>
        <v>245656</v>
      </c>
      <c r="Q45" s="885"/>
      <c r="R45" s="902"/>
      <c r="S45" s="750"/>
      <c r="T45" s="753"/>
      <c r="U45" s="748"/>
      <c r="V45" s="753"/>
      <c r="W45" s="738">
        <f t="shared" si="7"/>
        <v>161000</v>
      </c>
      <c r="X45" s="738">
        <f t="shared" si="0"/>
        <v>31556</v>
      </c>
      <c r="Y45" s="541">
        <f t="shared" si="8"/>
        <v>245656</v>
      </c>
      <c r="Z45" s="753">
        <f t="shared" si="1"/>
        <v>48148.576</v>
      </c>
      <c r="AA45" s="752"/>
      <c r="AB45" s="753"/>
    </row>
    <row r="46" spans="2:28" s="736" customFormat="1" ht="12">
      <c r="B46" s="748" t="s">
        <v>557</v>
      </c>
      <c r="C46" s="749">
        <f>X46</f>
        <v>409455.76</v>
      </c>
      <c r="D46" s="541"/>
      <c r="E46" s="905" t="str">
        <f t="shared" si="2"/>
        <v>Subvention et provision réglementé</v>
      </c>
      <c r="F46" s="907"/>
      <c r="G46" s="749">
        <f>Z46</f>
        <v>5589.92</v>
      </c>
      <c r="H46" s="540"/>
      <c r="K46" s="748" t="str">
        <f t="shared" si="3"/>
        <v>Stock et en cours </v>
      </c>
      <c r="L46" s="883">
        <f t="shared" si="4"/>
        <v>2089060</v>
      </c>
      <c r="M46" s="885"/>
      <c r="N46" s="751"/>
      <c r="O46" s="750" t="str">
        <f t="shared" si="5"/>
        <v>Subvention et provision réglementé</v>
      </c>
      <c r="P46" s="898">
        <f t="shared" si="6"/>
        <v>28520</v>
      </c>
      <c r="Q46" s="885"/>
      <c r="R46" s="902"/>
      <c r="S46" s="750"/>
      <c r="T46" s="753"/>
      <c r="U46" s="748"/>
      <c r="V46" s="753"/>
      <c r="W46" s="738">
        <f t="shared" si="7"/>
        <v>2089060</v>
      </c>
      <c r="X46" s="738">
        <f t="shared" si="0"/>
        <v>409455.76</v>
      </c>
      <c r="Y46" s="541">
        <f t="shared" si="8"/>
        <v>28520</v>
      </c>
      <c r="Z46" s="753">
        <f t="shared" si="1"/>
        <v>5589.92</v>
      </c>
      <c r="AA46" s="752"/>
      <c r="AB46" s="753"/>
    </row>
    <row r="47" spans="2:28" s="736" customFormat="1" ht="12">
      <c r="B47" s="748" t="s">
        <v>558</v>
      </c>
      <c r="C47" s="749">
        <f>X47</f>
        <v>333960.48000000004</v>
      </c>
      <c r="D47" s="541"/>
      <c r="E47" s="757">
        <f t="shared" si="2"/>
        <v>0</v>
      </c>
      <c r="F47" s="882"/>
      <c r="G47" s="757">
        <f>SUM(G42:G46)</f>
        <v>281860.544</v>
      </c>
      <c r="H47" s="722"/>
      <c r="K47" s="748" t="str">
        <f t="shared" si="3"/>
        <v>Créance &amp; autres</v>
      </c>
      <c r="L47" s="883">
        <f t="shared" si="4"/>
        <v>1703880</v>
      </c>
      <c r="M47" s="885"/>
      <c r="N47" s="751"/>
      <c r="O47" s="750">
        <f t="shared" si="5"/>
        <v>0</v>
      </c>
      <c r="P47" s="898">
        <f t="shared" si="6"/>
        <v>3000</v>
      </c>
      <c r="Q47" s="885"/>
      <c r="R47" s="902"/>
      <c r="S47" s="750"/>
      <c r="T47" s="753"/>
      <c r="U47" s="748"/>
      <c r="V47" s="753"/>
      <c r="W47" s="738">
        <f t="shared" si="7"/>
        <v>1703880</v>
      </c>
      <c r="X47" s="738">
        <f t="shared" si="0"/>
        <v>333960.48000000004</v>
      </c>
      <c r="Y47" s="541">
        <f t="shared" si="8"/>
        <v>3000</v>
      </c>
      <c r="Z47" s="753">
        <f t="shared" si="1"/>
        <v>588</v>
      </c>
      <c r="AA47" s="752"/>
      <c r="AB47" s="753"/>
    </row>
    <row r="48" spans="2:28" s="736" customFormat="1" ht="12">
      <c r="B48" s="748" t="s">
        <v>268</v>
      </c>
      <c r="C48" s="749"/>
      <c r="D48" s="541"/>
      <c r="E48" s="909" t="str">
        <f t="shared" si="2"/>
        <v>Total des capitaux</v>
      </c>
      <c r="F48" s="904"/>
      <c r="G48" s="755">
        <f>Z48</f>
        <v>282448.544</v>
      </c>
      <c r="H48" s="904"/>
      <c r="K48" s="748" t="str">
        <f t="shared" si="3"/>
        <v>Disponibilité</v>
      </c>
      <c r="L48" s="883">
        <f t="shared" si="4"/>
        <v>2170408</v>
      </c>
      <c r="M48" s="885"/>
      <c r="N48" s="751"/>
      <c r="O48" s="750" t="str">
        <f t="shared" si="5"/>
        <v>Total des capitaux</v>
      </c>
      <c r="P48" s="898">
        <f t="shared" si="6"/>
        <v>1441064</v>
      </c>
      <c r="Q48" s="885"/>
      <c r="R48" s="902"/>
      <c r="S48" s="750"/>
      <c r="T48" s="753"/>
      <c r="U48" s="748"/>
      <c r="V48" s="753"/>
      <c r="W48" s="738">
        <f t="shared" si="7"/>
        <v>2170408</v>
      </c>
      <c r="X48" s="738">
        <f t="shared" si="0"/>
        <v>425399.968</v>
      </c>
      <c r="Y48" s="541">
        <f t="shared" si="8"/>
        <v>1441064</v>
      </c>
      <c r="Z48" s="753">
        <f t="shared" si="1"/>
        <v>282448.544</v>
      </c>
      <c r="AA48" s="752"/>
      <c r="AB48" s="753"/>
    </row>
    <row r="49" spans="2:28" s="736" customFormat="1" ht="12">
      <c r="B49" s="748" t="s">
        <v>559</v>
      </c>
      <c r="C49" s="749">
        <f>X49</f>
        <v>51704.8</v>
      </c>
      <c r="D49" s="541"/>
      <c r="E49" s="905" t="str">
        <f>E11</f>
        <v>Dettes </v>
      </c>
      <c r="F49" s="907"/>
      <c r="G49" s="749">
        <f>Z49</f>
        <v>763724.584</v>
      </c>
      <c r="H49" s="540"/>
      <c r="K49" s="748" t="str">
        <f t="shared" si="3"/>
        <v>VMP</v>
      </c>
      <c r="L49" s="883">
        <f t="shared" si="4"/>
        <v>263800</v>
      </c>
      <c r="M49" s="885"/>
      <c r="N49" s="751"/>
      <c r="O49" s="750" t="str">
        <f>E49</f>
        <v>Dettes </v>
      </c>
      <c r="P49" s="898">
        <f t="shared" si="6"/>
        <v>3896554</v>
      </c>
      <c r="Q49" s="885"/>
      <c r="R49" s="902"/>
      <c r="S49" s="750"/>
      <c r="T49" s="753"/>
      <c r="U49" s="748"/>
      <c r="V49" s="753"/>
      <c r="W49" s="738">
        <f t="shared" si="7"/>
        <v>263800</v>
      </c>
      <c r="X49" s="738">
        <f t="shared" si="0"/>
        <v>51704.8</v>
      </c>
      <c r="Y49" s="541">
        <f t="shared" si="8"/>
        <v>3896554</v>
      </c>
      <c r="Z49" s="753">
        <f t="shared" si="1"/>
        <v>763724.584</v>
      </c>
      <c r="AA49" s="752"/>
      <c r="AB49" s="753"/>
    </row>
    <row r="50" spans="2:28" s="736" customFormat="1" ht="12">
      <c r="B50" s="754"/>
      <c r="C50" s="755">
        <f>SUM(C46:C49)</f>
        <v>795121.04</v>
      </c>
      <c r="D50" s="793"/>
      <c r="E50" s="905"/>
      <c r="F50" s="882"/>
      <c r="G50" s="749"/>
      <c r="H50" s="722"/>
      <c r="K50" s="748">
        <f t="shared" si="3"/>
        <v>0</v>
      </c>
      <c r="L50" s="883">
        <f t="shared" si="4"/>
        <v>13000</v>
      </c>
      <c r="M50" s="885"/>
      <c r="N50" s="751"/>
      <c r="O50" s="750">
        <f>E50</f>
        <v>0</v>
      </c>
      <c r="P50" s="898">
        <f t="shared" si="6"/>
        <v>0</v>
      </c>
      <c r="Q50" s="885"/>
      <c r="R50" s="902"/>
      <c r="S50" s="750"/>
      <c r="T50" s="753"/>
      <c r="U50" s="748"/>
      <c r="V50" s="753"/>
      <c r="W50" s="738">
        <f t="shared" si="7"/>
        <v>13000</v>
      </c>
      <c r="X50" s="738">
        <f t="shared" si="0"/>
        <v>2548</v>
      </c>
      <c r="Y50" s="541">
        <f t="shared" si="8"/>
        <v>0</v>
      </c>
      <c r="Z50" s="753">
        <f t="shared" si="1"/>
        <v>0</v>
      </c>
      <c r="AA50" s="752"/>
      <c r="AB50" s="753"/>
    </row>
    <row r="51" spans="2:28" s="736" customFormat="1" ht="12">
      <c r="B51" s="758"/>
      <c r="C51" s="749"/>
      <c r="D51" s="541"/>
      <c r="E51" s="905"/>
      <c r="F51" s="882"/>
      <c r="G51" s="749"/>
      <c r="H51" s="722"/>
      <c r="K51" s="748">
        <f t="shared" si="3"/>
        <v>0</v>
      </c>
      <c r="L51" s="883">
        <f t="shared" si="4"/>
        <v>276800</v>
      </c>
      <c r="M51" s="885"/>
      <c r="N51" s="751"/>
      <c r="O51" s="750">
        <f t="shared" si="5"/>
        <v>0</v>
      </c>
      <c r="P51" s="898">
        <f t="shared" si="6"/>
        <v>0</v>
      </c>
      <c r="Q51" s="885"/>
      <c r="R51" s="902"/>
      <c r="S51" s="750"/>
      <c r="T51" s="753"/>
      <c r="U51" s="748"/>
      <c r="V51" s="753"/>
      <c r="W51" s="738">
        <f t="shared" si="7"/>
        <v>276800</v>
      </c>
      <c r="X51" s="738">
        <f t="shared" si="0"/>
        <v>54252.8</v>
      </c>
      <c r="Y51" s="541">
        <f t="shared" si="8"/>
        <v>0</v>
      </c>
      <c r="Z51" s="753">
        <f t="shared" si="1"/>
        <v>0</v>
      </c>
      <c r="AA51" s="752"/>
      <c r="AB51" s="753"/>
    </row>
    <row r="52" spans="2:28" s="736" customFormat="1" ht="12">
      <c r="B52" s="758"/>
      <c r="C52" s="759"/>
      <c r="D52" s="905"/>
      <c r="E52" s="905"/>
      <c r="F52" s="882"/>
      <c r="G52" s="749"/>
      <c r="H52" s="722"/>
      <c r="K52" s="748">
        <f t="shared" si="3"/>
        <v>0</v>
      </c>
      <c r="L52" s="883">
        <f t="shared" si="4"/>
        <v>0</v>
      </c>
      <c r="M52" s="885"/>
      <c r="N52" s="751"/>
      <c r="O52" s="750">
        <f t="shared" si="5"/>
        <v>0</v>
      </c>
      <c r="P52" s="898">
        <f t="shared" si="6"/>
        <v>0</v>
      </c>
      <c r="Q52" s="885"/>
      <c r="R52" s="902"/>
      <c r="S52" s="750"/>
      <c r="T52" s="753"/>
      <c r="U52" s="748"/>
      <c r="V52" s="753"/>
      <c r="W52" s="738">
        <f t="shared" si="7"/>
        <v>0</v>
      </c>
      <c r="X52" s="738">
        <f t="shared" si="0"/>
        <v>0</v>
      </c>
      <c r="Y52" s="541">
        <f t="shared" si="8"/>
        <v>0</v>
      </c>
      <c r="Z52" s="753">
        <f t="shared" si="1"/>
        <v>0</v>
      </c>
      <c r="AA52" s="752"/>
      <c r="AB52" s="753"/>
    </row>
    <row r="53" spans="2:28" s="736" customFormat="1" ht="12">
      <c r="B53" s="758"/>
      <c r="C53" s="759"/>
      <c r="D53" s="905"/>
      <c r="E53" s="905"/>
      <c r="F53" s="882"/>
      <c r="G53" s="749"/>
      <c r="H53" s="722"/>
      <c r="K53" s="748">
        <f t="shared" si="3"/>
        <v>0</v>
      </c>
      <c r="L53" s="883">
        <f t="shared" si="4"/>
        <v>2447208</v>
      </c>
      <c r="M53" s="885"/>
      <c r="N53" s="751"/>
      <c r="O53" s="750">
        <f t="shared" si="5"/>
        <v>0</v>
      </c>
      <c r="P53" s="898">
        <f t="shared" si="6"/>
        <v>0</v>
      </c>
      <c r="Q53" s="885"/>
      <c r="R53" s="902"/>
      <c r="S53" s="750"/>
      <c r="T53" s="753"/>
      <c r="U53" s="748"/>
      <c r="V53" s="753"/>
      <c r="W53" s="738">
        <f t="shared" si="7"/>
        <v>2447208</v>
      </c>
      <c r="X53" s="738">
        <f t="shared" si="0"/>
        <v>479652.76800000004</v>
      </c>
      <c r="Y53" s="541">
        <f t="shared" si="8"/>
        <v>0</v>
      </c>
      <c r="Z53" s="753">
        <f t="shared" si="1"/>
        <v>0</v>
      </c>
      <c r="AA53" s="752"/>
      <c r="AB53" s="753"/>
    </row>
    <row r="54" spans="2:28" s="736" customFormat="1" ht="12">
      <c r="B54" s="758"/>
      <c r="C54" s="759"/>
      <c r="D54" s="905"/>
      <c r="E54" s="905"/>
      <c r="F54" s="882"/>
      <c r="G54" s="749"/>
      <c r="H54" s="722"/>
      <c r="K54" s="748">
        <f t="shared" si="3"/>
        <v>0</v>
      </c>
      <c r="L54" s="883">
        <f t="shared" si="4"/>
        <v>22000</v>
      </c>
      <c r="M54" s="885"/>
      <c r="N54" s="751"/>
      <c r="O54" s="750">
        <f t="shared" si="5"/>
        <v>0</v>
      </c>
      <c r="P54" s="898">
        <f t="shared" si="6"/>
        <v>500</v>
      </c>
      <c r="Q54" s="885"/>
      <c r="R54" s="902"/>
      <c r="S54" s="750"/>
      <c r="T54" s="753"/>
      <c r="U54" s="748"/>
      <c r="V54" s="753"/>
      <c r="W54" s="738">
        <f t="shared" si="7"/>
        <v>22000</v>
      </c>
      <c r="X54" s="738">
        <f t="shared" si="0"/>
        <v>4312</v>
      </c>
      <c r="Y54" s="541">
        <f t="shared" si="8"/>
        <v>500</v>
      </c>
      <c r="Z54" s="753">
        <f t="shared" si="1"/>
        <v>98</v>
      </c>
      <c r="AA54" s="752"/>
      <c r="AB54" s="753"/>
    </row>
    <row r="55" spans="2:28" s="736" customFormat="1" ht="12">
      <c r="B55" s="760"/>
      <c r="C55" s="761">
        <f>C50+C45</f>
        <v>1173020.8</v>
      </c>
      <c r="D55" s="906"/>
      <c r="E55" s="906"/>
      <c r="F55" s="908"/>
      <c r="G55" s="837">
        <f>G49+G48</f>
        <v>1046173.128</v>
      </c>
      <c r="H55" s="720"/>
      <c r="K55" s="740">
        <f t="shared" si="3"/>
        <v>0</v>
      </c>
      <c r="L55" s="887">
        <f t="shared" si="4"/>
        <v>4536268</v>
      </c>
      <c r="M55" s="886"/>
      <c r="N55" s="763"/>
      <c r="O55" s="762">
        <f t="shared" si="5"/>
        <v>0</v>
      </c>
      <c r="P55" s="896">
        <f t="shared" si="6"/>
        <v>0</v>
      </c>
      <c r="Q55" s="886"/>
      <c r="R55" s="903"/>
      <c r="S55" s="762"/>
      <c r="T55" s="742"/>
      <c r="U55" s="740"/>
      <c r="V55" s="742"/>
      <c r="W55" s="888">
        <f t="shared" si="7"/>
        <v>4536268</v>
      </c>
      <c r="X55" s="888">
        <f t="shared" si="0"/>
        <v>889108.528</v>
      </c>
      <c r="Y55" s="615">
        <f t="shared" si="8"/>
        <v>0</v>
      </c>
      <c r="Z55" s="742">
        <f t="shared" si="1"/>
        <v>0</v>
      </c>
      <c r="AA55" s="741"/>
      <c r="AB55" s="742"/>
    </row>
    <row r="56" spans="2:17" s="736" customFormat="1" ht="12">
      <c r="B56" s="764"/>
      <c r="C56" s="765"/>
      <c r="D56" s="595"/>
      <c r="E56" s="595"/>
      <c r="F56" s="595"/>
      <c r="G56" s="595"/>
      <c r="H56" s="595"/>
      <c r="K56" s="736">
        <f t="shared" si="3"/>
        <v>0</v>
      </c>
      <c r="P56" s="889"/>
      <c r="Q56" s="889"/>
    </row>
    <row r="57" spans="2:28" s="736" customFormat="1" ht="12">
      <c r="B57" s="2044" t="s">
        <v>596</v>
      </c>
      <c r="C57" s="2045"/>
      <c r="D57" s="2045"/>
      <c r="E57" s="2045"/>
      <c r="F57" s="2045"/>
      <c r="G57" s="2045"/>
      <c r="H57" s="2046"/>
      <c r="K57" s="737"/>
      <c r="L57" s="737"/>
      <c r="M57" s="738"/>
      <c r="N57" s="738"/>
      <c r="O57" s="737"/>
      <c r="P57" s="895"/>
      <c r="Q57" s="884"/>
      <c r="R57" s="739"/>
      <c r="S57" s="2037" t="s">
        <v>1263</v>
      </c>
      <c r="T57" s="2038"/>
      <c r="U57" s="2037" t="s">
        <v>1262</v>
      </c>
      <c r="V57" s="2038"/>
      <c r="W57" s="738"/>
      <c r="X57" s="738"/>
      <c r="Y57" s="738"/>
      <c r="Z57" s="738"/>
      <c r="AA57" s="738"/>
      <c r="AB57" s="739"/>
    </row>
    <row r="58" spans="2:28" s="736" customFormat="1" ht="12">
      <c r="B58" s="2041" t="s">
        <v>271</v>
      </c>
      <c r="C58" s="2042"/>
      <c r="D58" s="2042"/>
      <c r="E58" s="2042" t="s">
        <v>1276</v>
      </c>
      <c r="F58" s="2042"/>
      <c r="G58" s="2042"/>
      <c r="H58" s="2043"/>
      <c r="K58" s="748"/>
      <c r="L58" s="740"/>
      <c r="M58" s="741"/>
      <c r="N58" s="741"/>
      <c r="O58" s="740"/>
      <c r="P58" s="896"/>
      <c r="Q58" s="886"/>
      <c r="R58" s="742"/>
      <c r="S58" s="740"/>
      <c r="T58" s="742"/>
      <c r="U58" s="740"/>
      <c r="V58" s="742"/>
      <c r="W58" s="741"/>
      <c r="X58" s="741"/>
      <c r="Y58" s="752"/>
      <c r="Z58" s="752"/>
      <c r="AA58" s="741"/>
      <c r="AB58" s="742"/>
    </row>
    <row r="59" spans="2:28" s="736" customFormat="1" ht="12">
      <c r="B59" s="732"/>
      <c r="C59" s="732" t="s">
        <v>660</v>
      </c>
      <c r="D59" s="732" t="s">
        <v>661</v>
      </c>
      <c r="E59" s="743"/>
      <c r="F59" s="766"/>
      <c r="G59" s="732" t="s">
        <v>660</v>
      </c>
      <c r="H59" s="732" t="s">
        <v>661</v>
      </c>
      <c r="K59" s="748"/>
      <c r="L59" s="733" t="s">
        <v>693</v>
      </c>
      <c r="M59" s="733" t="s">
        <v>657</v>
      </c>
      <c r="N59" s="734" t="s">
        <v>501</v>
      </c>
      <c r="O59" s="743"/>
      <c r="P59" s="897" t="s">
        <v>693</v>
      </c>
      <c r="Q59" s="894" t="s">
        <v>657</v>
      </c>
      <c r="R59" s="735" t="s">
        <v>501</v>
      </c>
      <c r="S59" s="899">
        <v>0.055</v>
      </c>
      <c r="T59" s="900">
        <v>0.196</v>
      </c>
      <c r="U59" s="899">
        <f>TVA_5_5</f>
        <v>0.055</v>
      </c>
      <c r="V59" s="900">
        <f>TVA_19_6</f>
        <v>0.196</v>
      </c>
      <c r="W59" s="744" t="s">
        <v>694</v>
      </c>
      <c r="X59" s="744"/>
      <c r="Y59" s="899"/>
      <c r="Z59" s="900" t="str">
        <f>W59</f>
        <v>Par défaut</v>
      </c>
      <c r="AA59" s="744"/>
      <c r="AB59" s="735" t="s">
        <v>658</v>
      </c>
    </row>
    <row r="60" spans="2:28" s="736" customFormat="1" ht="12">
      <c r="B60" s="1464" t="str">
        <f aca="true" t="shared" si="9" ref="B60:B70">B22</f>
        <v>Marchandises</v>
      </c>
      <c r="C60" s="757">
        <f>X60</f>
        <v>0</v>
      </c>
      <c r="D60" s="757"/>
      <c r="E60" s="2049" t="str">
        <f aca="true" t="shared" si="10" ref="E60:E70">E22</f>
        <v>vente de marchandise</v>
      </c>
      <c r="F60" s="2050"/>
      <c r="G60" s="716">
        <f>Z60</f>
        <v>1810761.6800000002</v>
      </c>
      <c r="H60" s="718"/>
      <c r="K60" s="748" t="str">
        <f>B60</f>
        <v>Marchandises</v>
      </c>
      <c r="L60" s="548">
        <f aca="true" t="shared" si="11" ref="L60:L72">C22</f>
        <v>0</v>
      </c>
      <c r="M60" s="884"/>
      <c r="N60" s="747"/>
      <c r="O60" s="750" t="str">
        <f>E60</f>
        <v>vente de marchandise</v>
      </c>
      <c r="P60" s="898">
        <f>G22</f>
        <v>9238580</v>
      </c>
      <c r="Q60" s="884"/>
      <c r="R60" s="901"/>
      <c r="S60" s="746"/>
      <c r="T60" s="739"/>
      <c r="U60" s="737"/>
      <c r="V60" s="739"/>
      <c r="W60" s="552">
        <f>L60</f>
        <v>0</v>
      </c>
      <c r="X60" s="738">
        <f aca="true" t="shared" si="12" ref="X60:X73">W60*TVA_19_6</f>
        <v>0</v>
      </c>
      <c r="Y60" s="541">
        <f>P60</f>
        <v>9238580</v>
      </c>
      <c r="Z60" s="753">
        <f>Y60*TVA_19_6</f>
        <v>1810761.6800000002</v>
      </c>
      <c r="AA60" s="738"/>
      <c r="AB60" s="739"/>
    </row>
    <row r="61" spans="2:28" s="736" customFormat="1" ht="12">
      <c r="B61" s="1464" t="str">
        <f t="shared" si="9"/>
        <v>Matière premières</v>
      </c>
      <c r="C61" s="757">
        <f aca="true" t="shared" si="13" ref="C61:C70">X61</f>
        <v>735588</v>
      </c>
      <c r="D61" s="757"/>
      <c r="E61" s="2039" t="str">
        <f t="shared" si="10"/>
        <v>Vente de matière premières</v>
      </c>
      <c r="F61" s="2040"/>
      <c r="G61" s="721"/>
      <c r="H61" s="722"/>
      <c r="K61" s="748" t="str">
        <f aca="true" t="shared" si="14" ref="K61:K70">B61</f>
        <v>Matière premières</v>
      </c>
      <c r="L61" s="548">
        <f t="shared" si="11"/>
        <v>3753000</v>
      </c>
      <c r="M61" s="885"/>
      <c r="N61" s="751"/>
      <c r="O61" s="750" t="str">
        <f aca="true" t="shared" si="15" ref="O61:O66">E61</f>
        <v>Vente de matière premières</v>
      </c>
      <c r="P61" s="898">
        <f>G23</f>
        <v>0</v>
      </c>
      <c r="Q61" s="885"/>
      <c r="R61" s="902"/>
      <c r="S61" s="750"/>
      <c r="T61" s="753"/>
      <c r="U61" s="748"/>
      <c r="V61" s="753"/>
      <c r="W61" s="552">
        <f aca="true" t="shared" si="16" ref="W61:W73">L61</f>
        <v>3753000</v>
      </c>
      <c r="X61" s="738">
        <f t="shared" si="12"/>
        <v>735588</v>
      </c>
      <c r="Y61" s="541">
        <f aca="true" t="shared" si="17" ref="Y61:Y73">P61</f>
        <v>0</v>
      </c>
      <c r="Z61" s="753">
        <f aca="true" t="shared" si="18" ref="Z61:Z73">+Y61*TVA_19_6</f>
        <v>0</v>
      </c>
      <c r="AA61" s="752"/>
      <c r="AB61" s="753"/>
    </row>
    <row r="62" spans="2:28" s="736" customFormat="1" ht="12">
      <c r="B62" s="1464" t="str">
        <f t="shared" si="9"/>
        <v>Stock marchandises</v>
      </c>
      <c r="C62" s="757">
        <f t="shared" si="13"/>
        <v>0</v>
      </c>
      <c r="D62" s="757"/>
      <c r="E62" s="2039" t="str">
        <f t="shared" si="10"/>
        <v>Vente de services</v>
      </c>
      <c r="F62" s="2040"/>
      <c r="G62" s="721"/>
      <c r="H62" s="722"/>
      <c r="K62" s="748" t="str">
        <f t="shared" si="14"/>
        <v>Stock marchandises</v>
      </c>
      <c r="L62" s="548">
        <f t="shared" si="11"/>
        <v>0</v>
      </c>
      <c r="M62" s="885"/>
      <c r="N62" s="751"/>
      <c r="O62" s="750" t="str">
        <f t="shared" si="15"/>
        <v>Vente de services</v>
      </c>
      <c r="P62" s="898">
        <f>G24</f>
        <v>0</v>
      </c>
      <c r="Q62" s="885"/>
      <c r="R62" s="902"/>
      <c r="S62" s="750"/>
      <c r="T62" s="753"/>
      <c r="U62" s="748"/>
      <c r="V62" s="753"/>
      <c r="W62" s="552">
        <f t="shared" si="16"/>
        <v>0</v>
      </c>
      <c r="X62" s="738">
        <f t="shared" si="12"/>
        <v>0</v>
      </c>
      <c r="Y62" s="541">
        <f t="shared" si="17"/>
        <v>0</v>
      </c>
      <c r="Z62" s="753">
        <f t="shared" si="18"/>
        <v>0</v>
      </c>
      <c r="AA62" s="752"/>
      <c r="AB62" s="753"/>
    </row>
    <row r="63" spans="2:28" s="736" customFormat="1" ht="12">
      <c r="B63" s="1464" t="str">
        <f t="shared" si="9"/>
        <v>Stock matière première</v>
      </c>
      <c r="C63" s="757">
        <f t="shared" si="13"/>
        <v>8749.44</v>
      </c>
      <c r="D63" s="757"/>
      <c r="E63" s="2039" t="str">
        <f t="shared" si="10"/>
        <v>CA hors taxe</v>
      </c>
      <c r="F63" s="2040"/>
      <c r="G63" s="721"/>
      <c r="H63" s="722"/>
      <c r="K63" s="748" t="str">
        <f t="shared" si="14"/>
        <v>Stock matière première</v>
      </c>
      <c r="L63" s="548">
        <f t="shared" si="11"/>
        <v>44640</v>
      </c>
      <c r="M63" s="885"/>
      <c r="N63" s="751"/>
      <c r="O63" s="750" t="str">
        <f t="shared" si="15"/>
        <v>CA hors taxe</v>
      </c>
      <c r="P63" s="898">
        <f>G25</f>
        <v>0</v>
      </c>
      <c r="Q63" s="885"/>
      <c r="R63" s="902"/>
      <c r="S63" s="750"/>
      <c r="T63" s="753"/>
      <c r="U63" s="748"/>
      <c r="V63" s="753"/>
      <c r="W63" s="552">
        <f t="shared" si="16"/>
        <v>44640</v>
      </c>
      <c r="X63" s="738">
        <f t="shared" si="12"/>
        <v>8749.44</v>
      </c>
      <c r="Y63" s="541">
        <f t="shared" si="17"/>
        <v>0</v>
      </c>
      <c r="Z63" s="753">
        <f t="shared" si="18"/>
        <v>0</v>
      </c>
      <c r="AA63" s="752"/>
      <c r="AB63" s="753"/>
    </row>
    <row r="64" spans="2:28" s="736" customFormat="1" ht="12">
      <c r="B64" s="1464" t="str">
        <f t="shared" si="9"/>
        <v>Autre achat et charges externes</v>
      </c>
      <c r="C64" s="757">
        <f t="shared" si="13"/>
        <v>90800.92</v>
      </c>
      <c r="D64" s="757"/>
      <c r="E64" s="2039">
        <f t="shared" si="10"/>
        <v>0</v>
      </c>
      <c r="F64" s="2040"/>
      <c r="G64" s="721"/>
      <c r="H64" s="722"/>
      <c r="K64" s="748" t="str">
        <f t="shared" si="14"/>
        <v>Autre achat et charges externes</v>
      </c>
      <c r="L64" s="548">
        <f t="shared" si="11"/>
        <v>463270</v>
      </c>
      <c r="M64" s="885"/>
      <c r="N64" s="751"/>
      <c r="O64" s="750">
        <f t="shared" si="15"/>
        <v>0</v>
      </c>
      <c r="P64" s="898" t="e">
        <f>#REF!</f>
        <v>#REF!</v>
      </c>
      <c r="Q64" s="885"/>
      <c r="R64" s="902"/>
      <c r="S64" s="750"/>
      <c r="T64" s="753"/>
      <c r="U64" s="748"/>
      <c r="V64" s="753"/>
      <c r="W64" s="552">
        <f t="shared" si="16"/>
        <v>463270</v>
      </c>
      <c r="X64" s="738">
        <f t="shared" si="12"/>
        <v>90800.92</v>
      </c>
      <c r="Y64" s="541" t="e">
        <f t="shared" si="17"/>
        <v>#REF!</v>
      </c>
      <c r="Z64" s="753" t="e">
        <f t="shared" si="18"/>
        <v>#REF!</v>
      </c>
      <c r="AA64" s="752"/>
      <c r="AB64" s="753"/>
    </row>
    <row r="65" spans="2:28" s="736" customFormat="1" ht="12">
      <c r="B65" s="1464" t="str">
        <f t="shared" si="9"/>
        <v>Impots, taxes et versement assimilés</v>
      </c>
      <c r="C65" s="757"/>
      <c r="D65" s="757"/>
      <c r="E65" s="2039" t="str">
        <f t="shared" si="10"/>
        <v>Production stocké</v>
      </c>
      <c r="F65" s="2040"/>
      <c r="G65" s="721"/>
      <c r="H65" s="722"/>
      <c r="K65" s="748" t="str">
        <f t="shared" si="14"/>
        <v>Impots, taxes et versement assimilés</v>
      </c>
      <c r="L65" s="548">
        <f t="shared" si="11"/>
        <v>305837</v>
      </c>
      <c r="M65" s="885"/>
      <c r="N65" s="751"/>
      <c r="O65" s="750" t="str">
        <f t="shared" si="15"/>
        <v>Production stocké</v>
      </c>
      <c r="P65" s="898">
        <f>G26</f>
        <v>0</v>
      </c>
      <c r="Q65" s="885"/>
      <c r="R65" s="902"/>
      <c r="S65" s="750"/>
      <c r="T65" s="753"/>
      <c r="U65" s="748"/>
      <c r="V65" s="753"/>
      <c r="W65" s="552">
        <f t="shared" si="16"/>
        <v>305837</v>
      </c>
      <c r="X65" s="738">
        <f t="shared" si="12"/>
        <v>59944.052</v>
      </c>
      <c r="Y65" s="541">
        <f t="shared" si="17"/>
        <v>0</v>
      </c>
      <c r="Z65" s="753">
        <f t="shared" si="18"/>
        <v>0</v>
      </c>
      <c r="AA65" s="752"/>
      <c r="AB65" s="753"/>
    </row>
    <row r="66" spans="2:28" s="736" customFormat="1" ht="12">
      <c r="B66" s="1464" t="str">
        <f t="shared" si="9"/>
        <v>Charge de personnel</v>
      </c>
      <c r="C66" s="757"/>
      <c r="D66" s="757"/>
      <c r="E66" s="2039" t="str">
        <f t="shared" si="10"/>
        <v>Production immobilisés</v>
      </c>
      <c r="F66" s="2040"/>
      <c r="G66" s="721"/>
      <c r="H66" s="722"/>
      <c r="K66" s="748" t="str">
        <f t="shared" si="14"/>
        <v>Charge de personnel</v>
      </c>
      <c r="L66" s="548">
        <f t="shared" si="11"/>
        <v>4026485</v>
      </c>
      <c r="M66" s="885"/>
      <c r="N66" s="751"/>
      <c r="O66" s="750" t="str">
        <f t="shared" si="15"/>
        <v>Production immobilisés</v>
      </c>
      <c r="P66" s="898">
        <f>G29</f>
        <v>0</v>
      </c>
      <c r="Q66" s="885"/>
      <c r="R66" s="902"/>
      <c r="S66" s="750"/>
      <c r="T66" s="753"/>
      <c r="U66" s="748"/>
      <c r="V66" s="753"/>
      <c r="W66" s="552">
        <f t="shared" si="16"/>
        <v>4026485</v>
      </c>
      <c r="X66" s="738">
        <f t="shared" si="12"/>
        <v>789191.06</v>
      </c>
      <c r="Y66" s="541">
        <f t="shared" si="17"/>
        <v>0</v>
      </c>
      <c r="Z66" s="753">
        <f t="shared" si="18"/>
        <v>0</v>
      </c>
      <c r="AA66" s="752"/>
      <c r="AB66" s="753"/>
    </row>
    <row r="67" spans="2:28" s="736" customFormat="1" ht="12">
      <c r="B67" s="1464" t="str">
        <f t="shared" si="9"/>
        <v>Dotation aux amortissement </v>
      </c>
      <c r="C67" s="757">
        <f t="shared" si="13"/>
        <v>26412.960000000003</v>
      </c>
      <c r="D67" s="757"/>
      <c r="E67" s="2039" t="str">
        <f t="shared" si="10"/>
        <v>Subvention</v>
      </c>
      <c r="F67" s="2040"/>
      <c r="G67" s="721"/>
      <c r="H67" s="722"/>
      <c r="K67" s="748" t="str">
        <f t="shared" si="14"/>
        <v>Dotation aux amortissement </v>
      </c>
      <c r="L67" s="548">
        <f t="shared" si="11"/>
        <v>134760</v>
      </c>
      <c r="M67" s="885"/>
      <c r="N67" s="751"/>
      <c r="O67" s="750" t="str">
        <f aca="true" t="shared" si="19" ref="O67:O73">E67</f>
        <v>Subvention</v>
      </c>
      <c r="P67" s="898" t="e">
        <f>#REF!</f>
        <v>#REF!</v>
      </c>
      <c r="Q67" s="885"/>
      <c r="R67" s="902"/>
      <c r="S67" s="750"/>
      <c r="T67" s="753"/>
      <c r="U67" s="748"/>
      <c r="V67" s="753"/>
      <c r="W67" s="552">
        <f t="shared" si="16"/>
        <v>134760</v>
      </c>
      <c r="X67" s="738">
        <f t="shared" si="12"/>
        <v>26412.960000000003</v>
      </c>
      <c r="Y67" s="541" t="e">
        <f t="shared" si="17"/>
        <v>#REF!</v>
      </c>
      <c r="Z67" s="753" t="e">
        <f t="shared" si="18"/>
        <v>#REF!</v>
      </c>
      <c r="AA67" s="752"/>
      <c r="AB67" s="753"/>
    </row>
    <row r="68" spans="2:28" s="736" customFormat="1" ht="12">
      <c r="B68" s="1464" t="str">
        <f t="shared" si="9"/>
        <v>Dotation aux provision</v>
      </c>
      <c r="C68" s="757">
        <f t="shared" si="13"/>
        <v>588</v>
      </c>
      <c r="D68" s="757"/>
      <c r="E68" s="2039">
        <f t="shared" si="10"/>
        <v>0</v>
      </c>
      <c r="F68" s="2040"/>
      <c r="G68" s="721"/>
      <c r="H68" s="722"/>
      <c r="K68" s="748" t="str">
        <f t="shared" si="14"/>
        <v>Dotation aux provision</v>
      </c>
      <c r="L68" s="548">
        <f t="shared" si="11"/>
        <v>3000</v>
      </c>
      <c r="M68" s="885"/>
      <c r="N68" s="751"/>
      <c r="O68" s="750">
        <f t="shared" si="19"/>
        <v>0</v>
      </c>
      <c r="P68" s="898" t="e">
        <f>#REF!</f>
        <v>#REF!</v>
      </c>
      <c r="Q68" s="885"/>
      <c r="R68" s="902"/>
      <c r="S68" s="750"/>
      <c r="T68" s="753"/>
      <c r="U68" s="748"/>
      <c r="V68" s="753"/>
      <c r="W68" s="552">
        <f t="shared" si="16"/>
        <v>3000</v>
      </c>
      <c r="X68" s="738">
        <f t="shared" si="12"/>
        <v>588</v>
      </c>
      <c r="Y68" s="541" t="e">
        <f t="shared" si="17"/>
        <v>#REF!</v>
      </c>
      <c r="Z68" s="753" t="e">
        <f t="shared" si="18"/>
        <v>#REF!</v>
      </c>
      <c r="AA68" s="752"/>
      <c r="AB68" s="753"/>
    </row>
    <row r="69" spans="2:28" s="736" customFormat="1" ht="12">
      <c r="B69" s="1464" t="str">
        <f t="shared" si="9"/>
        <v>Charges d'exploitation</v>
      </c>
      <c r="C69" s="757">
        <f>SUM(C60:C68)</f>
        <v>862139.32</v>
      </c>
      <c r="D69" s="757"/>
      <c r="E69" s="2039" t="str">
        <f t="shared" si="10"/>
        <v>Reprise sur transfert charges</v>
      </c>
      <c r="F69" s="2040"/>
      <c r="G69" s="721"/>
      <c r="H69" s="722"/>
      <c r="K69" s="748" t="str">
        <f t="shared" si="14"/>
        <v>Charges d'exploitation</v>
      </c>
      <c r="L69" s="548">
        <f t="shared" si="11"/>
        <v>0</v>
      </c>
      <c r="M69" s="885"/>
      <c r="N69" s="751"/>
      <c r="O69" s="750" t="str">
        <f t="shared" si="19"/>
        <v>Reprise sur transfert charges</v>
      </c>
      <c r="P69" s="898">
        <f>G30</f>
        <v>47500</v>
      </c>
      <c r="Q69" s="885"/>
      <c r="R69" s="902"/>
      <c r="S69" s="750"/>
      <c r="T69" s="753"/>
      <c r="U69" s="748"/>
      <c r="V69" s="753"/>
      <c r="W69" s="552">
        <f t="shared" si="16"/>
        <v>0</v>
      </c>
      <c r="X69" s="738">
        <f t="shared" si="12"/>
        <v>0</v>
      </c>
      <c r="Y69" s="541">
        <f t="shared" si="17"/>
        <v>47500</v>
      </c>
      <c r="Z69" s="753">
        <f t="shared" si="18"/>
        <v>9310</v>
      </c>
      <c r="AA69" s="752"/>
      <c r="AB69" s="753"/>
    </row>
    <row r="70" spans="2:28" s="736" customFormat="1" ht="12">
      <c r="B70" s="1464" t="str">
        <f t="shared" si="9"/>
        <v>Quote part mis en commun</v>
      </c>
      <c r="C70" s="757">
        <f t="shared" si="13"/>
        <v>0</v>
      </c>
      <c r="D70" s="1468"/>
      <c r="E70" s="2039" t="str">
        <f t="shared" si="10"/>
        <v>Autre produit</v>
      </c>
      <c r="F70" s="2040"/>
      <c r="G70" s="721"/>
      <c r="H70" s="722"/>
      <c r="K70" s="748" t="str">
        <f t="shared" si="14"/>
        <v>Quote part mis en commun</v>
      </c>
      <c r="L70" s="548">
        <f t="shared" si="11"/>
        <v>0</v>
      </c>
      <c r="M70" s="885"/>
      <c r="N70" s="751"/>
      <c r="O70" s="750" t="str">
        <f t="shared" si="19"/>
        <v>Autre produit</v>
      </c>
      <c r="P70" s="898">
        <f>G31</f>
        <v>32350</v>
      </c>
      <c r="Q70" s="885"/>
      <c r="R70" s="902"/>
      <c r="S70" s="750"/>
      <c r="T70" s="753"/>
      <c r="U70" s="748"/>
      <c r="V70" s="753"/>
      <c r="W70" s="552">
        <f t="shared" si="16"/>
        <v>0</v>
      </c>
      <c r="X70" s="738">
        <f t="shared" si="12"/>
        <v>0</v>
      </c>
      <c r="Y70" s="541">
        <f t="shared" si="17"/>
        <v>32350</v>
      </c>
      <c r="Z70" s="753">
        <f t="shared" si="18"/>
        <v>6340.6</v>
      </c>
      <c r="AA70" s="752"/>
      <c r="AB70" s="753"/>
    </row>
    <row r="71" spans="2:28" s="736" customFormat="1" ht="12">
      <c r="B71" s="1469"/>
      <c r="C71" s="757"/>
      <c r="D71" s="1468"/>
      <c r="E71" s="2039" t="e">
        <f>#REF!</f>
        <v>#REF!</v>
      </c>
      <c r="F71" s="2040"/>
      <c r="G71" s="721"/>
      <c r="H71" s="722"/>
      <c r="K71" s="748" t="str">
        <f>B72</f>
        <v>Charges financières</v>
      </c>
      <c r="L71" s="548">
        <f t="shared" si="11"/>
        <v>316870</v>
      </c>
      <c r="M71" s="885"/>
      <c r="N71" s="751"/>
      <c r="O71" s="750" t="e">
        <f t="shared" si="19"/>
        <v>#REF!</v>
      </c>
      <c r="P71" s="898">
        <f>G33</f>
        <v>0</v>
      </c>
      <c r="Q71" s="885"/>
      <c r="R71" s="902"/>
      <c r="S71" s="750"/>
      <c r="T71" s="753"/>
      <c r="U71" s="748"/>
      <c r="V71" s="753"/>
      <c r="W71" s="552">
        <f t="shared" si="16"/>
        <v>316870</v>
      </c>
      <c r="X71" s="738">
        <f t="shared" si="12"/>
        <v>62106.520000000004</v>
      </c>
      <c r="Y71" s="541">
        <f t="shared" si="17"/>
        <v>0</v>
      </c>
      <c r="Z71" s="753">
        <f t="shared" si="18"/>
        <v>0</v>
      </c>
      <c r="AA71" s="752"/>
      <c r="AB71" s="753"/>
    </row>
    <row r="72" spans="2:28" s="736" customFormat="1" ht="12">
      <c r="B72" s="1464" t="str">
        <f>B33</f>
        <v>Charges financières</v>
      </c>
      <c r="C72" s="757">
        <f>'R1'!C38</f>
        <v>316870</v>
      </c>
      <c r="D72" s="1468"/>
      <c r="E72" s="2039" t="str">
        <f>E33</f>
        <v>Produits financiers</v>
      </c>
      <c r="F72" s="2040"/>
      <c r="G72" s="721"/>
      <c r="H72" s="722"/>
      <c r="K72" s="748" t="str">
        <f>B73</f>
        <v>Charges exceptionnel</v>
      </c>
      <c r="L72" s="548">
        <f t="shared" si="11"/>
        <v>136242</v>
      </c>
      <c r="M72" s="885"/>
      <c r="N72" s="751"/>
      <c r="O72" s="750" t="str">
        <f t="shared" si="19"/>
        <v>Produits financiers</v>
      </c>
      <c r="P72" s="898">
        <f>G34</f>
        <v>0</v>
      </c>
      <c r="Q72" s="885"/>
      <c r="R72" s="902"/>
      <c r="S72" s="750"/>
      <c r="T72" s="753"/>
      <c r="U72" s="748"/>
      <c r="V72" s="753"/>
      <c r="W72" s="552">
        <f t="shared" si="16"/>
        <v>136242</v>
      </c>
      <c r="X72" s="738">
        <f t="shared" si="12"/>
        <v>26703.432</v>
      </c>
      <c r="Y72" s="541">
        <f t="shared" si="17"/>
        <v>0</v>
      </c>
      <c r="Z72" s="753">
        <f t="shared" si="18"/>
        <v>0</v>
      </c>
      <c r="AA72" s="752"/>
      <c r="AB72" s="753"/>
    </row>
    <row r="73" spans="2:28" s="736" customFormat="1" ht="12">
      <c r="B73" s="1464" t="str">
        <f>B34</f>
        <v>Charges exceptionnel</v>
      </c>
      <c r="C73" s="757">
        <f>'R1'!C47</f>
        <v>136242</v>
      </c>
      <c r="D73" s="1468"/>
      <c r="E73" s="2039" t="str">
        <f>E34</f>
        <v>Produit exceptionnel</v>
      </c>
      <c r="F73" s="2040"/>
      <c r="G73" s="721"/>
      <c r="H73" s="722"/>
      <c r="I73" s="595"/>
      <c r="K73" s="740" t="e">
        <f>#REF!</f>
        <v>#REF!</v>
      </c>
      <c r="L73" s="887" t="e">
        <f>#REF!</f>
        <v>#REF!</v>
      </c>
      <c r="M73" s="886"/>
      <c r="N73" s="763"/>
      <c r="O73" s="762" t="str">
        <f t="shared" si="19"/>
        <v>Produit exceptionnel</v>
      </c>
      <c r="P73" s="896" t="e">
        <f>#REF!</f>
        <v>#REF!</v>
      </c>
      <c r="Q73" s="886"/>
      <c r="R73" s="903"/>
      <c r="S73" s="762"/>
      <c r="T73" s="742"/>
      <c r="U73" s="740"/>
      <c r="V73" s="742"/>
      <c r="W73" s="552" t="e">
        <f t="shared" si="16"/>
        <v>#REF!</v>
      </c>
      <c r="X73" s="888" t="e">
        <f t="shared" si="12"/>
        <v>#REF!</v>
      </c>
      <c r="Y73" s="541" t="e">
        <f t="shared" si="17"/>
        <v>#REF!</v>
      </c>
      <c r="Z73" s="753" t="e">
        <f t="shared" si="18"/>
        <v>#REF!</v>
      </c>
      <c r="AA73" s="741"/>
      <c r="AB73" s="742"/>
    </row>
    <row r="74" spans="2:8" ht="12.75">
      <c r="B74" s="14"/>
      <c r="C74" s="67"/>
      <c r="D74" s="67"/>
      <c r="E74" s="48"/>
      <c r="F74" s="46"/>
      <c r="G74" s="48"/>
      <c r="H74" s="46"/>
    </row>
    <row r="75" spans="2:8" ht="12.75">
      <c r="B75" s="24"/>
      <c r="C75" s="304"/>
      <c r="D75" s="304"/>
      <c r="E75" s="261"/>
      <c r="F75" s="49"/>
      <c r="G75" s="261"/>
      <c r="H75" s="49"/>
    </row>
    <row r="77" spans="2:11" ht="12.75">
      <c r="B77" s="2056" t="s">
        <v>566</v>
      </c>
      <c r="C77" s="2057"/>
      <c r="D77" s="2057"/>
      <c r="E77" s="2057"/>
      <c r="F77" s="2057"/>
      <c r="G77" s="2057"/>
      <c r="H77" s="2058"/>
      <c r="J77" s="767" t="s">
        <v>644</v>
      </c>
      <c r="K77" s="767"/>
    </row>
    <row r="78" spans="2:8" ht="12.75">
      <c r="B78" s="274"/>
      <c r="C78" s="2054" t="s">
        <v>652</v>
      </c>
      <c r="D78" s="2055"/>
      <c r="E78" s="2054" t="s">
        <v>115</v>
      </c>
      <c r="F78" s="2055"/>
      <c r="G78" s="2054" t="s">
        <v>140</v>
      </c>
      <c r="H78" s="2055"/>
    </row>
    <row r="79" spans="2:8" ht="12.75">
      <c r="B79" s="781"/>
      <c r="C79" s="782" t="s">
        <v>29</v>
      </c>
      <c r="D79" s="783" t="s">
        <v>9</v>
      </c>
      <c r="E79" s="782" t="s">
        <v>29</v>
      </c>
      <c r="F79" s="783" t="s">
        <v>9</v>
      </c>
      <c r="G79" s="782" t="s">
        <v>195</v>
      </c>
      <c r="H79" s="783" t="s">
        <v>196</v>
      </c>
    </row>
    <row r="80" spans="2:8" ht="12.75">
      <c r="B80" s="29" t="s">
        <v>135</v>
      </c>
      <c r="C80" s="48"/>
      <c r="D80" s="46"/>
      <c r="E80" s="48"/>
      <c r="F80" s="46"/>
      <c r="G80" s="402">
        <f>SIG0!C5</f>
        <v>0</v>
      </c>
      <c r="H80" s="45">
        <f>SIG0!O5</f>
        <v>0</v>
      </c>
    </row>
    <row r="81" spans="2:8" ht="12.75">
      <c r="B81" s="29" t="s">
        <v>1178</v>
      </c>
      <c r="C81" s="48"/>
      <c r="D81" s="46"/>
      <c r="E81" s="48"/>
      <c r="F81" s="46"/>
      <c r="G81" s="48">
        <f>ProductionVendues</f>
        <v>9238580</v>
      </c>
      <c r="H81" s="46">
        <f>SIG0!O9</f>
        <v>8912420</v>
      </c>
    </row>
    <row r="82" spans="2:8" ht="12.75">
      <c r="B82" s="29" t="s">
        <v>136</v>
      </c>
      <c r="C82" s="48"/>
      <c r="D82" s="46"/>
      <c r="E82" s="48"/>
      <c r="F82" s="46"/>
      <c r="G82" s="48">
        <f>StockProduct</f>
        <v>136685</v>
      </c>
      <c r="H82" s="46">
        <f>SIG0!O13</f>
        <v>0</v>
      </c>
    </row>
    <row r="83" spans="2:8" ht="12.75">
      <c r="B83" s="29"/>
      <c r="C83" s="48"/>
      <c r="D83" s="46"/>
      <c r="E83" s="48"/>
      <c r="F83" s="46"/>
      <c r="G83" s="48"/>
      <c r="H83" s="46"/>
    </row>
    <row r="84" spans="2:8" ht="12.75">
      <c r="B84" s="29" t="s">
        <v>137</v>
      </c>
      <c r="C84" s="48"/>
      <c r="D84" s="46"/>
      <c r="E84" s="48"/>
      <c r="F84" s="46"/>
      <c r="G84" s="48">
        <f>CA</f>
        <v>9238580</v>
      </c>
      <c r="H84" s="46">
        <f>SIG0!M9</f>
        <v>8912420</v>
      </c>
    </row>
    <row r="85" spans="2:8" ht="12.75">
      <c r="B85" s="29" t="s">
        <v>17</v>
      </c>
      <c r="C85" s="48"/>
      <c r="D85" s="46"/>
      <c r="E85" s="48"/>
      <c r="F85" s="46"/>
      <c r="G85" s="48">
        <f>MargeCom</f>
        <v>0</v>
      </c>
      <c r="H85" s="46">
        <f>SIG0!X5</f>
        <v>0</v>
      </c>
    </row>
    <row r="86" spans="2:8" ht="12.75">
      <c r="B86" s="29"/>
      <c r="C86" s="48"/>
      <c r="D86" s="46"/>
      <c r="E86" s="48"/>
      <c r="F86" s="46"/>
      <c r="G86" s="48"/>
      <c r="H86" s="46"/>
    </row>
    <row r="87" spans="2:8" ht="12.75">
      <c r="B87" s="29" t="s">
        <v>1179</v>
      </c>
      <c r="C87" s="48"/>
      <c r="D87" s="46"/>
      <c r="E87" s="48">
        <f>SIG0!H3</f>
        <v>0</v>
      </c>
      <c r="F87" s="46">
        <f>SIG0!T3</f>
        <v>0</v>
      </c>
      <c r="G87" s="48"/>
      <c r="H87" s="46"/>
    </row>
    <row r="88" spans="2:8" ht="12.75">
      <c r="B88" s="29" t="s">
        <v>138</v>
      </c>
      <c r="C88" s="48"/>
      <c r="D88" s="46"/>
      <c r="E88" s="48">
        <f>SIG0!H15</f>
        <v>3753000</v>
      </c>
      <c r="F88" s="46">
        <f>SIG0!T16</f>
        <v>0</v>
      </c>
      <c r="G88" s="48"/>
      <c r="H88" s="46"/>
    </row>
    <row r="89" spans="2:8" ht="12.75">
      <c r="B89" s="29" t="s">
        <v>125</v>
      </c>
      <c r="C89" s="48"/>
      <c r="D89" s="46"/>
      <c r="E89" s="48">
        <f>SIG0!H4</f>
        <v>0</v>
      </c>
      <c r="F89" s="46">
        <f>SIG0!T4</f>
        <v>0</v>
      </c>
      <c r="G89" s="48"/>
      <c r="H89" s="46"/>
    </row>
    <row r="90" spans="2:8" ht="12.75">
      <c r="B90" s="29" t="s">
        <v>139</v>
      </c>
      <c r="C90" s="48"/>
      <c r="D90" s="46"/>
      <c r="E90" s="48">
        <f>SIG0!H16</f>
        <v>44640</v>
      </c>
      <c r="F90" s="46">
        <f>SIG0!T17</f>
        <v>0</v>
      </c>
      <c r="G90" s="48"/>
      <c r="H90" s="46"/>
    </row>
    <row r="91" spans="2:8" ht="12.75">
      <c r="B91" s="29" t="s">
        <v>141</v>
      </c>
      <c r="C91" s="48"/>
      <c r="D91" s="46"/>
      <c r="E91" s="48">
        <f>ConsoExterne</f>
        <v>4250910</v>
      </c>
      <c r="F91" s="46">
        <f>SIG0!T19</f>
        <v>0</v>
      </c>
      <c r="G91" s="48"/>
      <c r="H91" s="46"/>
    </row>
    <row r="92" spans="2:8" ht="12.75">
      <c r="B92" s="29"/>
      <c r="C92" s="48"/>
      <c r="D92" s="46"/>
      <c r="E92" s="48"/>
      <c r="F92" s="46"/>
      <c r="G92" s="48"/>
      <c r="H92" s="46"/>
    </row>
    <row r="93" spans="2:8" ht="12.75">
      <c r="B93" s="29" t="s">
        <v>19</v>
      </c>
      <c r="C93" s="48"/>
      <c r="D93" s="46"/>
      <c r="E93" s="48"/>
      <c r="F93" s="46"/>
      <c r="G93" s="48">
        <f>VA</f>
        <v>5124355</v>
      </c>
      <c r="H93" s="46">
        <f>SIG0!M19</f>
        <v>4837112</v>
      </c>
    </row>
    <row r="94" spans="2:8" ht="12.75">
      <c r="B94" s="29"/>
      <c r="C94" s="48"/>
      <c r="D94" s="46"/>
      <c r="E94" s="48"/>
      <c r="F94" s="46"/>
      <c r="G94" s="48"/>
      <c r="H94" s="46"/>
    </row>
    <row r="95" spans="2:8" ht="12.75">
      <c r="B95" s="29" t="s">
        <v>1170</v>
      </c>
      <c r="C95" s="48"/>
      <c r="D95" s="46"/>
      <c r="E95" s="48">
        <f>SIG0!H22</f>
        <v>2822650</v>
      </c>
      <c r="F95" s="46">
        <f>SIG0!T22</f>
        <v>0</v>
      </c>
      <c r="G95" s="48"/>
      <c r="H95" s="46"/>
    </row>
    <row r="96" spans="2:8" ht="12.75">
      <c r="B96" s="29" t="s">
        <v>1171</v>
      </c>
      <c r="C96" s="48"/>
      <c r="D96" s="46"/>
      <c r="E96" s="48">
        <f>SIG0!H23</f>
        <v>1203835</v>
      </c>
      <c r="F96" s="46">
        <f>SIG0!T23</f>
        <v>0</v>
      </c>
      <c r="G96" s="48"/>
      <c r="H96" s="46"/>
    </row>
    <row r="97" spans="2:8" ht="12.75">
      <c r="B97" s="29" t="s">
        <v>1197</v>
      </c>
      <c r="C97" s="48"/>
      <c r="D97" s="46"/>
      <c r="E97" s="47">
        <f>SUM(E95:E96)</f>
        <v>4026485</v>
      </c>
      <c r="F97" s="47">
        <f>SUM(F95:F96)</f>
        <v>0</v>
      </c>
      <c r="G97" s="48"/>
      <c r="H97" s="46"/>
    </row>
    <row r="98" spans="2:8" ht="12.75">
      <c r="B98" s="29" t="s">
        <v>143</v>
      </c>
      <c r="C98" s="48"/>
      <c r="D98" s="46"/>
      <c r="E98" s="47"/>
      <c r="F98" s="47"/>
      <c r="G98" s="48">
        <f>Sal!D10</f>
        <v>30</v>
      </c>
      <c r="H98" s="46">
        <v>20</v>
      </c>
    </row>
    <row r="99" spans="2:8" ht="12.75">
      <c r="B99" s="29" t="s">
        <v>142</v>
      </c>
      <c r="C99" s="48"/>
      <c r="D99" s="46"/>
      <c r="E99" s="48">
        <f>SIG0!H26</f>
        <v>305837</v>
      </c>
      <c r="F99" s="46"/>
      <c r="G99" s="48"/>
      <c r="H99" s="46"/>
    </row>
    <row r="100" spans="2:8" ht="12.75">
      <c r="B100" s="29"/>
      <c r="C100" s="48"/>
      <c r="D100" s="46"/>
      <c r="E100" s="48"/>
      <c r="F100" s="46"/>
      <c r="G100" s="48"/>
      <c r="H100" s="46"/>
    </row>
    <row r="101" spans="2:8" ht="12.75">
      <c r="B101" s="29" t="s">
        <v>1224</v>
      </c>
      <c r="C101" s="48"/>
      <c r="D101" s="46"/>
      <c r="E101" s="48"/>
      <c r="F101" s="46"/>
      <c r="G101" s="48">
        <f>EBE</f>
        <v>792033</v>
      </c>
      <c r="H101" s="46">
        <f>SIG0!M28</f>
        <v>8912420</v>
      </c>
    </row>
    <row r="102" spans="2:8" ht="12.75">
      <c r="B102" s="29" t="s">
        <v>146</v>
      </c>
      <c r="C102" s="48"/>
      <c r="D102" s="46"/>
      <c r="E102" s="48"/>
      <c r="F102" s="46"/>
      <c r="G102" s="48">
        <f>Résultat_Exploitation</f>
        <v>681198</v>
      </c>
      <c r="H102" s="46">
        <f>SIG0!M37</f>
        <v>8912420</v>
      </c>
    </row>
    <row r="103" spans="2:8" ht="12.75">
      <c r="B103" s="29" t="str">
        <f>SIG0!K54</f>
        <v>Résultat courant avant impots</v>
      </c>
      <c r="C103" s="48"/>
      <c r="D103" s="46"/>
      <c r="E103" s="48"/>
      <c r="F103" s="46"/>
      <c r="G103" s="48">
        <f>Résultat_brut</f>
        <v>378048</v>
      </c>
      <c r="H103" s="46">
        <f>SIG0!M54</f>
        <v>8912420</v>
      </c>
    </row>
    <row r="104" spans="2:8" ht="12.75">
      <c r="B104" s="29" t="str">
        <f>SIG0!K65</f>
        <v>Résultat Net de l'exercices</v>
      </c>
      <c r="C104" s="48"/>
      <c r="D104" s="46"/>
      <c r="E104" s="48"/>
      <c r="F104" s="46"/>
      <c r="G104" s="48">
        <f>Résultat_net</f>
        <v>245656</v>
      </c>
      <c r="H104" s="46">
        <f>SIG0!M65</f>
        <v>8912420</v>
      </c>
    </row>
    <row r="105" spans="2:8" ht="12.75">
      <c r="B105" s="29" t="str">
        <f>SIG0!K72</f>
        <v>TVA à redistribuer à l'Etat</v>
      </c>
      <c r="C105" s="48"/>
      <c r="D105" s="46"/>
      <c r="E105" s="48"/>
      <c r="F105" s="46"/>
      <c r="G105" s="48">
        <f>SIG0!L72</f>
        <v>1093214.5</v>
      </c>
      <c r="H105" s="46"/>
    </row>
    <row r="106" spans="2:8" ht="12.75">
      <c r="B106" s="29"/>
      <c r="C106" s="48"/>
      <c r="D106" s="46"/>
      <c r="E106" s="48"/>
      <c r="F106" s="46"/>
      <c r="G106" s="48"/>
      <c r="H106" s="46"/>
    </row>
    <row r="107" spans="2:8" ht="12.75">
      <c r="B107" s="29" t="s">
        <v>659</v>
      </c>
      <c r="C107" s="48"/>
      <c r="D107" s="46"/>
      <c r="E107" s="48">
        <f>Tax!D14</f>
        <v>2514045.58</v>
      </c>
      <c r="F107" s="46"/>
      <c r="G107" s="48"/>
      <c r="H107" s="46"/>
    </row>
    <row r="108" spans="2:8" ht="12.75">
      <c r="B108" s="29"/>
      <c r="C108" s="48"/>
      <c r="D108" s="46"/>
      <c r="E108" s="48"/>
      <c r="F108" s="46"/>
      <c r="G108" s="48"/>
      <c r="H108" s="46"/>
    </row>
    <row r="109" spans="2:8" ht="12.75">
      <c r="B109" s="29" t="s">
        <v>1209</v>
      </c>
      <c r="C109" s="48">
        <f>'R1'!I24</f>
        <v>9455115</v>
      </c>
      <c r="D109" s="46"/>
      <c r="E109" s="48">
        <f>'R1'!C24</f>
        <v>8775917</v>
      </c>
      <c r="F109" s="46"/>
      <c r="G109" s="48">
        <f>C109-E109</f>
        <v>679198</v>
      </c>
      <c r="H109" s="46"/>
    </row>
    <row r="110" spans="2:8" ht="12.75">
      <c r="B110" s="29" t="s">
        <v>144</v>
      </c>
      <c r="C110" s="48">
        <f>'R1'!I38</f>
        <v>15720</v>
      </c>
      <c r="D110" s="46"/>
      <c r="E110" s="48">
        <f>'R1'!C38</f>
        <v>316870</v>
      </c>
      <c r="F110" s="46"/>
      <c r="G110" s="48">
        <f>C110-E110</f>
        <v>-301150</v>
      </c>
      <c r="H110" s="46"/>
    </row>
    <row r="111" spans="2:8" ht="12.75">
      <c r="B111" s="29" t="s">
        <v>145</v>
      </c>
      <c r="C111" s="48">
        <f>'R1'!I47</f>
        <v>215222</v>
      </c>
      <c r="D111" s="46"/>
      <c r="E111" s="48">
        <f>'R1'!C47</f>
        <v>136242</v>
      </c>
      <c r="F111" s="46"/>
      <c r="G111" s="48">
        <f>C111-E111</f>
        <v>78980</v>
      </c>
      <c r="H111" s="46"/>
    </row>
    <row r="112" spans="2:8" ht="12.75">
      <c r="B112" s="29" t="s">
        <v>147</v>
      </c>
      <c r="C112" s="48">
        <f>'R1'!I53</f>
        <v>9686057</v>
      </c>
      <c r="D112" s="46"/>
      <c r="E112" s="48">
        <f>'R1'!C53</f>
        <v>9304159</v>
      </c>
      <c r="F112" s="46"/>
      <c r="G112" s="48">
        <f>C112-E112</f>
        <v>381898</v>
      </c>
      <c r="H112" s="46"/>
    </row>
    <row r="113" spans="2:8" ht="12.75">
      <c r="B113" s="30" t="s">
        <v>762</v>
      </c>
      <c r="C113" s="261"/>
      <c r="D113" s="49"/>
      <c r="E113" s="261"/>
      <c r="F113" s="49"/>
      <c r="G113" s="261">
        <f>SIG0!L103</f>
        <v>405046</v>
      </c>
      <c r="H113" s="49"/>
    </row>
    <row r="114" spans="10:11" ht="12" customHeight="1">
      <c r="J114" s="767" t="s">
        <v>644</v>
      </c>
      <c r="K114" s="767"/>
    </row>
    <row r="115" spans="2:8" ht="12.75">
      <c r="B115" s="8"/>
      <c r="C115" s="47"/>
      <c r="D115" s="47"/>
      <c r="E115" s="47"/>
      <c r="F115" s="47"/>
      <c r="G115" s="47"/>
      <c r="H115" s="47"/>
    </row>
    <row r="116" spans="2:9" ht="12.75">
      <c r="B116" s="1486" t="s">
        <v>640</v>
      </c>
      <c r="C116" s="1528"/>
      <c r="D116" s="1528"/>
      <c r="E116" s="1528"/>
      <c r="F116" s="1528"/>
      <c r="G116" s="1528"/>
      <c r="H116" s="1528"/>
      <c r="I116" s="1487"/>
    </row>
    <row r="117" spans="2:9" ht="12.75">
      <c r="B117" s="262"/>
      <c r="C117" s="69"/>
      <c r="D117" s="69"/>
      <c r="E117" s="69"/>
      <c r="F117" s="69"/>
      <c r="G117" s="69"/>
      <c r="H117" s="69"/>
      <c r="I117" s="711"/>
    </row>
    <row r="118" spans="2:9" ht="12.75">
      <c r="B118" s="32"/>
      <c r="C118" s="1855" t="s">
        <v>29</v>
      </c>
      <c r="D118" s="2047"/>
      <c r="E118" s="33" t="s">
        <v>637</v>
      </c>
      <c r="F118" s="784"/>
      <c r="G118" s="1855" t="s">
        <v>29</v>
      </c>
      <c r="H118" s="2047"/>
      <c r="I118" s="33" t="s">
        <v>637</v>
      </c>
    </row>
    <row r="119" spans="2:9" ht="12.75">
      <c r="B119" s="30"/>
      <c r="C119" s="261" t="s">
        <v>635</v>
      </c>
      <c r="D119" s="49" t="s">
        <v>636</v>
      </c>
      <c r="E119" s="304"/>
      <c r="F119" s="261"/>
      <c r="G119" s="261" t="s">
        <v>635</v>
      </c>
      <c r="H119" s="49" t="s">
        <v>636</v>
      </c>
      <c r="I119" s="304"/>
    </row>
    <row r="120" spans="2:9" ht="12.75">
      <c r="B120" s="29"/>
      <c r="C120" s="47"/>
      <c r="D120" s="47"/>
      <c r="E120" s="46"/>
      <c r="F120" s="785" t="str">
        <f>'BF'!F8</f>
        <v>Capitaux propres</v>
      </c>
      <c r="G120" s="47">
        <f>'BF'!G8</f>
        <v>1398064</v>
      </c>
      <c r="H120" s="47">
        <f>'BF'!H8</f>
        <v>1398064</v>
      </c>
      <c r="I120" s="46">
        <f>'BF'!I8</f>
        <v>1056563</v>
      </c>
    </row>
    <row r="121" spans="2:9" ht="12.75">
      <c r="B121" s="29"/>
      <c r="C121" s="47"/>
      <c r="D121" s="47"/>
      <c r="E121" s="46"/>
      <c r="F121" s="48" t="s">
        <v>634</v>
      </c>
      <c r="G121" s="47">
        <f>'BF'!G15</f>
        <v>606510</v>
      </c>
      <c r="H121" s="47">
        <f>'BF'!H15</f>
        <v>614510</v>
      </c>
      <c r="I121" s="46">
        <f>'BF'!I15</f>
        <v>552000</v>
      </c>
    </row>
    <row r="122" spans="2:9" ht="12.75">
      <c r="B122" s="48" t="str">
        <f>'BF'!A22</f>
        <v>Emploi stable</v>
      </c>
      <c r="C122" s="47">
        <f>'BF'!B22</f>
        <v>1619740</v>
      </c>
      <c r="D122" s="47">
        <f>'BF'!C22</f>
        <v>1669740</v>
      </c>
      <c r="E122" s="46">
        <f>'BF'!D22</f>
        <v>1476120</v>
      </c>
      <c r="F122" s="48" t="str">
        <f>'BF'!F21</f>
        <v>Dettes financières</v>
      </c>
      <c r="G122" s="47">
        <f>'BF'!G21</f>
        <v>1218550</v>
      </c>
      <c r="H122" s="47">
        <f>'BF'!H21</f>
        <v>1260550</v>
      </c>
      <c r="I122" s="46">
        <f>'BF'!I21</f>
        <v>1294900</v>
      </c>
    </row>
    <row r="123" spans="2:9" ht="12.75">
      <c r="B123" s="29"/>
      <c r="C123" s="47"/>
      <c r="D123" s="47"/>
      <c r="E123" s="46"/>
      <c r="F123" s="48"/>
      <c r="G123" s="47"/>
      <c r="H123" s="47"/>
      <c r="I123" s="23"/>
    </row>
    <row r="124" spans="2:9" ht="12.75">
      <c r="B124" s="48" t="str">
        <f>'BF'!A31</f>
        <v>Stocks &amp; Créance d'Exploitation</v>
      </c>
      <c r="C124" s="47">
        <f>'BF'!B31</f>
        <v>3997788</v>
      </c>
      <c r="D124" s="47">
        <f>'BF'!C31</f>
        <v>4010588</v>
      </c>
      <c r="E124" s="46">
        <f>'BF'!D31</f>
        <v>3506156</v>
      </c>
      <c r="F124" s="48" t="str">
        <f>'BF'!F31</f>
        <v>Dettes d'Exploitation</v>
      </c>
      <c r="G124" s="47">
        <f>'BF'!G31</f>
        <v>2489045</v>
      </c>
      <c r="H124" s="47">
        <f>'BF'!H31</f>
        <v>2489045</v>
      </c>
      <c r="I124" s="46">
        <f>'BF'!I31</f>
        <v>2118443</v>
      </c>
    </row>
    <row r="125" spans="2:9" ht="12.75">
      <c r="B125" s="29"/>
      <c r="C125" s="47"/>
      <c r="D125" s="47"/>
      <c r="E125" s="46"/>
      <c r="F125" s="48"/>
      <c r="G125" s="47"/>
      <c r="H125" s="47"/>
      <c r="I125" s="23"/>
    </row>
    <row r="126" spans="2:10" ht="12.75">
      <c r="B126" s="48" t="str">
        <f>'BF'!A35</f>
        <v>Créances Hors Exploitation</v>
      </c>
      <c r="C126" s="47">
        <f>'BF'!B35</f>
        <v>14000</v>
      </c>
      <c r="D126" s="47">
        <f>'BF'!C35</f>
        <v>14000</v>
      </c>
      <c r="E126" s="46">
        <f>'BF'!D35</f>
        <v>40800</v>
      </c>
      <c r="F126" s="48" t="s">
        <v>638</v>
      </c>
      <c r="G126" s="47">
        <f>'BF'!G35</f>
        <v>168659</v>
      </c>
      <c r="H126" s="47">
        <f>'BF'!H35</f>
        <v>168659</v>
      </c>
      <c r="I126" s="46">
        <f>'BF'!I35</f>
        <v>135790</v>
      </c>
      <c r="J126" s="53"/>
    </row>
    <row r="127" spans="2:10" ht="12.75">
      <c r="B127" s="29"/>
      <c r="C127" s="47"/>
      <c r="D127" s="47"/>
      <c r="E127" s="46"/>
      <c r="F127" s="48"/>
      <c r="G127" s="47"/>
      <c r="H127" s="47"/>
      <c r="I127" s="23"/>
      <c r="J127" s="53"/>
    </row>
    <row r="128" spans="2:10" ht="12.75">
      <c r="B128" s="48" t="str">
        <f>'BF'!A39</f>
        <v>Trésorerie active</v>
      </c>
      <c r="C128" s="47">
        <f>'BF'!B39</f>
        <v>263800</v>
      </c>
      <c r="D128" s="47">
        <f>'BF'!C39</f>
        <v>263800</v>
      </c>
      <c r="E128" s="46">
        <f>'BF'!D39</f>
        <v>146120</v>
      </c>
      <c r="F128" s="48" t="str">
        <f>'BF'!F39</f>
        <v>Trésorerie passive</v>
      </c>
      <c r="G128" s="47">
        <f>'BF'!G39</f>
        <v>14500</v>
      </c>
      <c r="H128" s="47">
        <f>'BF'!H39</f>
        <v>27300</v>
      </c>
      <c r="I128" s="46">
        <f>'BF'!I39</f>
        <v>11500</v>
      </c>
      <c r="J128" s="53"/>
    </row>
    <row r="129" spans="2:9" ht="12.75">
      <c r="B129" s="29"/>
      <c r="C129" s="47"/>
      <c r="D129" s="47"/>
      <c r="E129" s="46"/>
      <c r="F129" s="48"/>
      <c r="G129" s="47"/>
      <c r="H129" s="47"/>
      <c r="I129" s="23"/>
    </row>
    <row r="130" spans="2:9" ht="12.75">
      <c r="B130" s="48" t="str">
        <f>'BF'!A41</f>
        <v>Actif circulants</v>
      </c>
      <c r="C130" s="47">
        <f>'BF'!B41</f>
        <v>4275588</v>
      </c>
      <c r="D130" s="47">
        <f>'BF'!C41</f>
        <v>4288388</v>
      </c>
      <c r="E130" s="46">
        <f>'BF'!D41</f>
        <v>3693076</v>
      </c>
      <c r="F130" s="48" t="str">
        <f>'BF'!F41</f>
        <v>Total Passif circulant</v>
      </c>
      <c r="G130" s="47">
        <f>'BF'!G41</f>
        <v>2672204</v>
      </c>
      <c r="H130" s="47">
        <f>'BF'!H41</f>
        <v>2685004</v>
      </c>
      <c r="I130" s="46">
        <f>'BF'!I41</f>
        <v>2265733</v>
      </c>
    </row>
    <row r="131" spans="2:9" ht="12.75">
      <c r="B131" s="29"/>
      <c r="C131" s="47"/>
      <c r="D131" s="47"/>
      <c r="E131" s="46"/>
      <c r="F131" s="48"/>
      <c r="G131" s="47"/>
      <c r="H131" s="47"/>
      <c r="I131" s="23"/>
    </row>
    <row r="132" spans="2:9" ht="12.75">
      <c r="B132" s="48" t="str">
        <f>'BF'!A43</f>
        <v>Total Actif</v>
      </c>
      <c r="C132" s="47">
        <f>'BF'!B43</f>
        <v>5895328</v>
      </c>
      <c r="D132" s="47">
        <f>'BF'!C43</f>
        <v>5958128</v>
      </c>
      <c r="E132" s="46">
        <f>'BF'!D43</f>
        <v>5169196</v>
      </c>
      <c r="F132" s="48" t="str">
        <f>'BF'!F43</f>
        <v>PASSIF TOTAL</v>
      </c>
      <c r="G132" s="47">
        <f>'BF'!G43</f>
        <v>5895328</v>
      </c>
      <c r="H132" s="47">
        <f>'BF'!H43</f>
        <v>5958128</v>
      </c>
      <c r="I132" s="46">
        <f>'BF'!I43</f>
        <v>5169196</v>
      </c>
    </row>
    <row r="133" spans="2:9" ht="12.75">
      <c r="B133" s="29"/>
      <c r="C133" s="47"/>
      <c r="D133" s="47"/>
      <c r="E133" s="46"/>
      <c r="F133" s="48"/>
      <c r="G133" s="47"/>
      <c r="H133" s="47"/>
      <c r="I133" s="23"/>
    </row>
    <row r="134" spans="2:9" ht="12.75">
      <c r="B134" s="30"/>
      <c r="C134" s="365"/>
      <c r="D134" s="365"/>
      <c r="E134" s="49"/>
      <c r="F134" s="261"/>
      <c r="G134" s="365"/>
      <c r="H134" s="365"/>
      <c r="I134" s="31"/>
    </row>
    <row r="135" spans="2:8" ht="12.75">
      <c r="B135" s="8"/>
      <c r="C135" s="47"/>
      <c r="D135" s="47"/>
      <c r="E135" s="47"/>
      <c r="F135" s="47"/>
      <c r="G135" s="47"/>
      <c r="H135" s="47"/>
    </row>
    <row r="136" spans="2:8" ht="12.75">
      <c r="B136" s="274" t="s">
        <v>315</v>
      </c>
      <c r="C136" s="52">
        <f>G_CA1</f>
        <v>9238580</v>
      </c>
      <c r="D136" s="52"/>
      <c r="E136" s="52"/>
      <c r="F136" s="52"/>
      <c r="G136" s="52"/>
      <c r="H136" s="45"/>
    </row>
    <row r="137" spans="2:8" ht="12.75">
      <c r="B137" s="29" t="s">
        <v>575</v>
      </c>
      <c r="C137" s="47">
        <f>C6</f>
        <v>964030</v>
      </c>
      <c r="D137" s="47"/>
      <c r="E137" s="47"/>
      <c r="F137" s="47"/>
      <c r="G137" s="47"/>
      <c r="H137" s="46"/>
    </row>
    <row r="138" spans="2:8" ht="12.75">
      <c r="B138" s="29" t="s">
        <v>576</v>
      </c>
      <c r="C138" s="47">
        <f>SUM(C136:C137)</f>
        <v>10202610</v>
      </c>
      <c r="D138" s="47"/>
      <c r="E138" s="47"/>
      <c r="F138" s="47"/>
      <c r="G138" s="47"/>
      <c r="H138" s="46"/>
    </row>
    <row r="139" spans="2:8" ht="12.75">
      <c r="B139" s="29"/>
      <c r="C139" s="47"/>
      <c r="D139" s="47"/>
      <c r="E139" s="47"/>
      <c r="F139" s="47"/>
      <c r="G139" s="47"/>
      <c r="H139" s="46"/>
    </row>
    <row r="140" spans="2:8" ht="12.75">
      <c r="B140" s="29" t="s">
        <v>578</v>
      </c>
      <c r="C140" s="47">
        <f>C8</f>
        <v>2089060</v>
      </c>
      <c r="D140" s="47"/>
      <c r="E140" s="47"/>
      <c r="F140" s="47"/>
      <c r="G140" s="47"/>
      <c r="H140" s="46"/>
    </row>
    <row r="141" spans="2:8" ht="12.75">
      <c r="B141" s="29" t="s">
        <v>263</v>
      </c>
      <c r="C141" s="47">
        <f>C9</f>
        <v>1703880</v>
      </c>
      <c r="D141" s="47"/>
      <c r="E141" s="47"/>
      <c r="F141" s="47"/>
      <c r="G141" s="47"/>
      <c r="H141" s="46"/>
    </row>
    <row r="142" spans="2:8" ht="12.75">
      <c r="B142" s="29" t="s">
        <v>579</v>
      </c>
      <c r="C142" s="47">
        <f>C10</f>
        <v>2170408</v>
      </c>
      <c r="D142" s="47"/>
      <c r="E142" s="47"/>
      <c r="F142" s="47"/>
      <c r="G142" s="47"/>
      <c r="H142" s="46"/>
    </row>
    <row r="143" spans="2:8" ht="12.75">
      <c r="B143" s="29" t="s">
        <v>535</v>
      </c>
      <c r="C143" s="47">
        <f>C13</f>
        <v>276800</v>
      </c>
      <c r="D143" s="47"/>
      <c r="E143" s="47"/>
      <c r="F143" s="47"/>
      <c r="G143" s="47"/>
      <c r="H143" s="46"/>
    </row>
    <row r="144" spans="2:8" ht="12.75">
      <c r="B144" s="29"/>
      <c r="C144" s="47">
        <f>SUM(C140:C143)</f>
        <v>6240148</v>
      </c>
      <c r="D144" s="47"/>
      <c r="E144" s="47"/>
      <c r="F144" s="47"/>
      <c r="G144" s="47"/>
      <c r="H144" s="46"/>
    </row>
    <row r="145" spans="2:8" ht="12.75">
      <c r="B145" s="30"/>
      <c r="C145" s="365"/>
      <c r="D145" s="365"/>
      <c r="E145" s="365"/>
      <c r="F145" s="365"/>
      <c r="G145" s="365"/>
      <c r="H145" s="49"/>
    </row>
    <row r="146" spans="3:17" s="8" customFormat="1" ht="12.75">
      <c r="C146" s="47"/>
      <c r="D146" s="47"/>
      <c r="E146" s="47"/>
      <c r="F146" s="47"/>
      <c r="G146" s="47"/>
      <c r="H146" s="47"/>
      <c r="P146" s="890"/>
      <c r="Q146" s="890"/>
    </row>
    <row r="147" spans="3:17" s="8" customFormat="1" ht="12.75">
      <c r="C147" s="47"/>
      <c r="D147" s="47"/>
      <c r="E147" s="47"/>
      <c r="F147" s="47"/>
      <c r="G147" s="47"/>
      <c r="H147" s="47"/>
      <c r="P147" s="890"/>
      <c r="Q147" s="890"/>
    </row>
    <row r="148" spans="3:17" s="8" customFormat="1" ht="12.75">
      <c r="C148" s="47"/>
      <c r="D148" s="47"/>
      <c r="E148" s="47"/>
      <c r="F148" s="47"/>
      <c r="G148" s="47"/>
      <c r="H148" s="47"/>
      <c r="P148" s="890"/>
      <c r="Q148" s="890"/>
    </row>
    <row r="149" spans="3:17" s="8" customFormat="1" ht="12.75">
      <c r="C149" s="47"/>
      <c r="D149" s="47"/>
      <c r="E149" s="47"/>
      <c r="F149" s="47"/>
      <c r="G149" s="47"/>
      <c r="H149" s="47"/>
      <c r="P149" s="890"/>
      <c r="Q149" s="890"/>
    </row>
    <row r="150" spans="3:17" s="8" customFormat="1" ht="13.5" thickBot="1">
      <c r="C150" s="47"/>
      <c r="D150" s="47"/>
      <c r="E150" s="47"/>
      <c r="F150" s="47"/>
      <c r="G150" s="47"/>
      <c r="H150" s="47"/>
      <c r="P150" s="890"/>
      <c r="Q150" s="890"/>
    </row>
    <row r="151" spans="2:17" s="8" customFormat="1" ht="13.5" thickBot="1">
      <c r="B151" s="2028" t="s">
        <v>639</v>
      </c>
      <c r="C151" s="2029"/>
      <c r="D151" s="2029"/>
      <c r="E151" s="2029"/>
      <c r="F151" s="2029"/>
      <c r="G151" s="2029"/>
      <c r="H151" s="2048"/>
      <c r="J151" s="767" t="s">
        <v>648</v>
      </c>
      <c r="K151" s="767"/>
      <c r="P151" s="890"/>
      <c r="Q151" s="890"/>
    </row>
    <row r="152" spans="2:17" s="8" customFormat="1" ht="12.75">
      <c r="B152" s="2006">
        <f>'BF'!K2</f>
        <v>0</v>
      </c>
      <c r="C152" s="2007"/>
      <c r="D152" s="2007"/>
      <c r="E152" s="646">
        <f>'BF'!N2</f>
        <v>0</v>
      </c>
      <c r="F152" s="646">
        <f>'BF'!O2</f>
        <v>0</v>
      </c>
      <c r="G152" s="646">
        <f>'BF'!P2</f>
        <v>0</v>
      </c>
      <c r="H152" s="647">
        <f>'BF'!Q2</f>
        <v>0</v>
      </c>
      <c r="P152" s="890"/>
      <c r="Q152" s="890"/>
    </row>
    <row r="153" spans="2:17" s="8" customFormat="1" ht="13.5" thickBot="1">
      <c r="B153" s="648">
        <f>'BF'!K3</f>
        <v>0</v>
      </c>
      <c r="C153" s="2001" t="str">
        <f>'BF'!L3</f>
        <v>SOLDES N</v>
      </c>
      <c r="D153" s="2003"/>
      <c r="E153" s="2001" t="str">
        <f>'BF'!N3</f>
        <v>SOLDES N-1</v>
      </c>
      <c r="F153" s="2002"/>
      <c r="G153" s="2001" t="str">
        <f>'BF'!P3</f>
        <v>Variation</v>
      </c>
      <c r="H153" s="2011"/>
      <c r="P153" s="890"/>
      <c r="Q153" s="890"/>
    </row>
    <row r="154" spans="2:17" s="8" customFormat="1" ht="24">
      <c r="B154" s="649">
        <f>'BF'!K4</f>
        <v>0</v>
      </c>
      <c r="C154" s="577" t="str">
        <f>'BF'!L4</f>
        <v>avant retraitement</v>
      </c>
      <c r="D154" s="599" t="str">
        <f>'BF'!M4</f>
        <v>après retraitement</v>
      </c>
      <c r="E154" s="650" t="str">
        <f>'BF'!N4</f>
        <v>avant retraitement</v>
      </c>
      <c r="F154" s="651" t="str">
        <f>'BF'!O4</f>
        <v>après retraitement</v>
      </c>
      <c r="G154" s="650" t="str">
        <f>'BF'!P4</f>
        <v>avant retraitement</v>
      </c>
      <c r="H154" s="652" t="str">
        <f>'BF'!Q4</f>
        <v>après retraitement</v>
      </c>
      <c r="P154" s="890"/>
      <c r="Q154" s="890"/>
    </row>
    <row r="155" spans="2:17" s="8" customFormat="1" ht="13.5" thickBot="1">
      <c r="B155" s="2019" t="str">
        <f>'BF'!K5</f>
        <v>SOLDES DU CAPITAL</v>
      </c>
      <c r="C155" s="2020"/>
      <c r="D155" s="2020"/>
      <c r="E155" s="653">
        <f>'BF'!N5</f>
        <v>0</v>
      </c>
      <c r="F155" s="654">
        <f>'BF'!O5</f>
        <v>0</v>
      </c>
      <c r="G155" s="653">
        <f>'BF'!P5</f>
        <v>0</v>
      </c>
      <c r="H155" s="655">
        <f>'BF'!Q5</f>
        <v>0</v>
      </c>
      <c r="P155" s="890"/>
      <c r="Q155" s="890"/>
    </row>
    <row r="156" spans="2:17" s="8" customFormat="1" ht="13.5" thickBot="1">
      <c r="B156" s="2016" t="str">
        <f>'BF'!K6</f>
        <v>Fond de Roulement Net Global ( FRNG )</v>
      </c>
      <c r="C156" s="2017"/>
      <c r="D156" s="2017"/>
      <c r="E156" s="2017"/>
      <c r="F156" s="2017"/>
      <c r="G156" s="2017"/>
      <c r="H156" s="2018"/>
      <c r="P156" s="890"/>
      <c r="Q156" s="890"/>
    </row>
    <row r="157" spans="2:17" s="8" customFormat="1" ht="12.75">
      <c r="B157" s="656" t="str">
        <f>'BF'!K7</f>
        <v>Ressources stables</v>
      </c>
      <c r="C157" s="669">
        <f>'BF'!L7</f>
        <v>3223124</v>
      </c>
      <c r="D157" s="670">
        <f>'BF'!M7</f>
        <v>3273124</v>
      </c>
      <c r="E157" s="669">
        <f>'BF'!N7</f>
        <v>2903463</v>
      </c>
      <c r="F157" s="670">
        <f>'BF'!O7</f>
        <v>0</v>
      </c>
      <c r="G157" s="657">
        <f>'BF'!P7</f>
        <v>0</v>
      </c>
      <c r="H157" s="658">
        <f>'BF'!Q7</f>
        <v>0</v>
      </c>
      <c r="P157" s="890"/>
      <c r="Q157" s="890"/>
    </row>
    <row r="158" spans="2:17" s="8" customFormat="1" ht="12.75">
      <c r="B158" s="659" t="str">
        <f>'BF'!K8</f>
        <v>− Emploi stables</v>
      </c>
      <c r="C158" s="671">
        <f>'BF'!L8</f>
        <v>-1619740</v>
      </c>
      <c r="D158" s="672">
        <f>'BF'!M8</f>
        <v>-1669740</v>
      </c>
      <c r="E158" s="671">
        <f>'BF'!N8</f>
        <v>-1476120</v>
      </c>
      <c r="F158" s="672">
        <f>'BF'!O8</f>
        <v>0</v>
      </c>
      <c r="G158" s="657">
        <f>'BF'!P8</f>
        <v>0</v>
      </c>
      <c r="H158" s="658">
        <f>'BF'!Q8</f>
        <v>0</v>
      </c>
      <c r="P158" s="890"/>
      <c r="Q158" s="890"/>
    </row>
    <row r="159" spans="2:17" s="8" customFormat="1" ht="12.75">
      <c r="B159" s="660" t="str">
        <f>'BF'!K9</f>
        <v>Fond de Roulement Net Global</v>
      </c>
      <c r="C159" s="673">
        <f>'BF'!L9</f>
        <v>1603384</v>
      </c>
      <c r="D159" s="674">
        <f>'BF'!M9</f>
        <v>1603384</v>
      </c>
      <c r="E159" s="673">
        <f>'BF'!N9</f>
        <v>1427343</v>
      </c>
      <c r="F159" s="674">
        <f>'BF'!O9</f>
        <v>0</v>
      </c>
      <c r="G159" s="657">
        <f>'BF'!P9</f>
        <v>176041</v>
      </c>
      <c r="H159" s="658">
        <f>'BF'!Q9</f>
        <v>0</v>
      </c>
      <c r="P159" s="890"/>
      <c r="Q159" s="890"/>
    </row>
    <row r="160" spans="2:17" s="8" customFormat="1" ht="12.75">
      <c r="B160" s="656" t="str">
        <f>'BF'!K11</f>
        <v>Actif circulant</v>
      </c>
      <c r="C160" s="673">
        <f>'BF'!L11</f>
        <v>4275588</v>
      </c>
      <c r="D160" s="675">
        <f>'BF'!M11</f>
        <v>4288388</v>
      </c>
      <c r="E160" s="673">
        <f>'BF'!N11</f>
        <v>3693076</v>
      </c>
      <c r="F160" s="675">
        <f>'BF'!O11</f>
        <v>0</v>
      </c>
      <c r="G160" s="657">
        <f>'BF'!P11</f>
        <v>0</v>
      </c>
      <c r="H160" s="658">
        <f>'BF'!Q11</f>
        <v>0</v>
      </c>
      <c r="P160" s="890"/>
      <c r="Q160" s="890"/>
    </row>
    <row r="161" spans="2:17" s="8" customFormat="1" ht="12.75">
      <c r="B161" s="659" t="str">
        <f>'BF'!K12</f>
        <v>−Passif circulant</v>
      </c>
      <c r="C161" s="671">
        <f>'BF'!L12</f>
        <v>-2672204</v>
      </c>
      <c r="D161" s="672">
        <f>'BF'!M12</f>
        <v>-2685004</v>
      </c>
      <c r="E161" s="671">
        <f>'BF'!N12</f>
        <v>-2265733</v>
      </c>
      <c r="F161" s="672">
        <f>'BF'!O12</f>
        <v>0</v>
      </c>
      <c r="G161" s="657">
        <f>'BF'!P12</f>
        <v>0</v>
      </c>
      <c r="H161" s="658">
        <f>'BF'!Q12</f>
        <v>0</v>
      </c>
      <c r="P161" s="890"/>
      <c r="Q161" s="890"/>
    </row>
    <row r="162" spans="2:17" s="8" customFormat="1" ht="13.5" thickBot="1">
      <c r="B162" s="660" t="str">
        <f>'BF'!K13</f>
        <v>Fond de Roulement net Global</v>
      </c>
      <c r="C162" s="676">
        <f>'BF'!L13</f>
        <v>1603384</v>
      </c>
      <c r="D162" s="677">
        <f>'BF'!M13</f>
        <v>1603384</v>
      </c>
      <c r="E162" s="676">
        <f>'BF'!N13</f>
        <v>1427343</v>
      </c>
      <c r="F162" s="677">
        <f>'BF'!O13</f>
        <v>0</v>
      </c>
      <c r="G162" s="657">
        <f>'BF'!P13</f>
        <v>176041</v>
      </c>
      <c r="H162" s="658">
        <f>'BF'!Q13</f>
        <v>0</v>
      </c>
      <c r="P162" s="890"/>
      <c r="Q162" s="890"/>
    </row>
    <row r="163" spans="2:17" s="8" customFormat="1" ht="12.75">
      <c r="B163" s="2008" t="str">
        <f>'BF'!K14</f>
        <v>Besoin en fond de roulement ( BFR )</v>
      </c>
      <c r="C163" s="2009"/>
      <c r="D163" s="2009"/>
      <c r="E163" s="2009"/>
      <c r="F163" s="2009"/>
      <c r="G163" s="2009"/>
      <c r="H163" s="2010"/>
      <c r="P163" s="890"/>
      <c r="Q163" s="890"/>
    </row>
    <row r="164" spans="2:17" s="8" customFormat="1" ht="12.75">
      <c r="B164" s="790" t="str">
        <f>'BF'!K15</f>
        <v>Créance d'exploitation</v>
      </c>
      <c r="C164" s="678">
        <f>'BF'!L15</f>
        <v>3997788</v>
      </c>
      <c r="D164" s="674">
        <f>'BF'!M15</f>
        <v>4010588</v>
      </c>
      <c r="E164" s="678">
        <f>'BF'!N15</f>
        <v>3506156</v>
      </c>
      <c r="F164" s="674">
        <f>'BF'!O15</f>
        <v>0</v>
      </c>
      <c r="G164" s="717">
        <f>'BF'!P15</f>
        <v>0</v>
      </c>
      <c r="H164" s="791">
        <f>'BF'!Q15</f>
        <v>0</v>
      </c>
      <c r="P164" s="890"/>
      <c r="Q164" s="890"/>
    </row>
    <row r="165" spans="2:17" s="8" customFormat="1" ht="12.75">
      <c r="B165" s="656" t="str">
        <f>'BF'!K16</f>
        <v>Créance Hors Exploitation </v>
      </c>
      <c r="C165" s="673">
        <f>'BF'!L16</f>
        <v>14000</v>
      </c>
      <c r="D165" s="675">
        <f>'BF'!M16</f>
        <v>14000</v>
      </c>
      <c r="E165" s="673">
        <f>'BF'!N16</f>
        <v>40800</v>
      </c>
      <c r="F165" s="675">
        <f>'BF'!O16</f>
        <v>0</v>
      </c>
      <c r="G165" s="657">
        <f>'BF'!P16</f>
        <v>0</v>
      </c>
      <c r="H165" s="658">
        <f>'BF'!Q16</f>
        <v>0</v>
      </c>
      <c r="P165" s="890"/>
      <c r="Q165" s="890"/>
    </row>
    <row r="166" spans="2:17" s="8" customFormat="1" ht="12.75">
      <c r="B166" s="792" t="str">
        <f>'BF'!K17</f>
        <v>Actif circulant</v>
      </c>
      <c r="C166" s="671">
        <f>'BF'!L17</f>
        <v>4011788</v>
      </c>
      <c r="D166" s="672">
        <f>'BF'!M17</f>
        <v>4024588</v>
      </c>
      <c r="E166" s="671">
        <f>'BF'!N17</f>
        <v>3546956</v>
      </c>
      <c r="F166" s="672">
        <f>'BF'!O17</f>
        <v>0</v>
      </c>
      <c r="G166" s="719">
        <f>'BF'!P17</f>
        <v>464832</v>
      </c>
      <c r="H166" s="727">
        <f>'BF'!Q17</f>
        <v>0</v>
      </c>
      <c r="P166" s="890"/>
      <c r="Q166" s="890"/>
    </row>
    <row r="167" spans="2:17" s="8" customFormat="1" ht="12.75">
      <c r="B167" s="656" t="str">
        <f>'BF'!K20</f>
        <v>Dette d'exploitation</v>
      </c>
      <c r="C167" s="673">
        <f>'BF'!L20</f>
        <v>2489045</v>
      </c>
      <c r="D167" s="675">
        <f>'BF'!M20</f>
        <v>2489045</v>
      </c>
      <c r="E167" s="673">
        <f>'BF'!N20</f>
        <v>2118443</v>
      </c>
      <c r="F167" s="675">
        <f>'BF'!O20</f>
        <v>0</v>
      </c>
      <c r="G167" s="657">
        <f>'BF'!P20</f>
        <v>0</v>
      </c>
      <c r="H167" s="658">
        <f>'BF'!Q20</f>
        <v>0</v>
      </c>
      <c r="P167" s="890"/>
      <c r="Q167" s="890"/>
    </row>
    <row r="168" spans="2:17" s="8" customFormat="1" ht="12.75">
      <c r="B168" s="656" t="str">
        <f>'BF'!K21</f>
        <v>Dette hors exploitation</v>
      </c>
      <c r="C168" s="729">
        <f>'BF'!L21</f>
        <v>168659</v>
      </c>
      <c r="D168" s="728">
        <f>'BF'!M21</f>
        <v>168659</v>
      </c>
      <c r="E168" s="729">
        <f>'BF'!N21</f>
        <v>135790</v>
      </c>
      <c r="F168" s="728">
        <f>'BF'!O21</f>
        <v>0</v>
      </c>
      <c r="G168" s="657">
        <f>'BF'!P21</f>
        <v>0</v>
      </c>
      <c r="H168" s="658">
        <f>'BF'!Q21</f>
        <v>0</v>
      </c>
      <c r="P168" s="890"/>
      <c r="Q168" s="890"/>
    </row>
    <row r="169" spans="2:17" s="8" customFormat="1" ht="12.75">
      <c r="B169" s="643" t="str">
        <f>'BF'!K23</f>
        <v>Passif circulant</v>
      </c>
      <c r="C169" s="681">
        <f>'BF'!L23</f>
        <v>-2657704</v>
      </c>
      <c r="D169" s="682">
        <f>'BF'!M23</f>
        <v>-2657704</v>
      </c>
      <c r="E169" s="681">
        <f>'BF'!N23</f>
        <v>-2254233</v>
      </c>
      <c r="F169" s="682">
        <f>'BF'!O23</f>
        <v>0</v>
      </c>
      <c r="G169" s="657">
        <f>'BF'!P23</f>
        <v>-403471</v>
      </c>
      <c r="H169" s="658">
        <f>'BF'!Q23</f>
        <v>0</v>
      </c>
      <c r="P169" s="890"/>
      <c r="Q169" s="890"/>
    </row>
    <row r="170" spans="2:17" s="8" customFormat="1" ht="13.5" thickBot="1">
      <c r="B170" s="660" t="str">
        <f>'BF'!K25</f>
        <v>Besoin de Fond de Roulement</v>
      </c>
      <c r="C170" s="673">
        <f>'BF'!L25</f>
        <v>1354084</v>
      </c>
      <c r="D170" s="675">
        <f>'BF'!M25</f>
        <v>1366884</v>
      </c>
      <c r="E170" s="673">
        <f>'BF'!N25</f>
        <v>1292723</v>
      </c>
      <c r="F170" s="675">
        <f>'BF'!O25</f>
        <v>0</v>
      </c>
      <c r="G170" s="657">
        <f>'BF'!P25</f>
        <v>61361</v>
      </c>
      <c r="H170" s="658">
        <f>'BF'!Q25</f>
        <v>0</v>
      </c>
      <c r="P170" s="890"/>
      <c r="Q170" s="890"/>
    </row>
    <row r="171" spans="2:17" s="8" customFormat="1" ht="13.5" thickBot="1">
      <c r="B171" s="2016" t="str">
        <f>'BF'!K26</f>
        <v>Besoin de Fond de Roulement d' Exploitation ( BFRE )</v>
      </c>
      <c r="C171" s="2017"/>
      <c r="D171" s="2017"/>
      <c r="E171" s="2017"/>
      <c r="F171" s="2017"/>
      <c r="G171" s="2017"/>
      <c r="H171" s="2018"/>
      <c r="P171" s="890"/>
      <c r="Q171" s="890"/>
    </row>
    <row r="172" spans="2:17" s="8" customFormat="1" ht="12.75">
      <c r="B172" s="656" t="str">
        <f>'BF'!K27</f>
        <v>Stock &amp; Créance d'exploitation</v>
      </c>
      <c r="C172" s="669">
        <f>'BF'!L27</f>
        <v>3997788</v>
      </c>
      <c r="D172" s="670">
        <f>'BF'!M27</f>
        <v>4010588</v>
      </c>
      <c r="E172" s="669">
        <f>'BF'!N27</f>
        <v>0</v>
      </c>
      <c r="F172" s="670">
        <f>'BF'!O27</f>
        <v>0</v>
      </c>
      <c r="G172" s="657">
        <f>'BF'!P27</f>
        <v>0</v>
      </c>
      <c r="H172" s="658">
        <f>'BF'!Q27</f>
        <v>0</v>
      </c>
      <c r="P172" s="890"/>
      <c r="Q172" s="890"/>
    </row>
    <row r="173" spans="2:17" s="8" customFormat="1" ht="12.75">
      <c r="B173" s="656" t="str">
        <f>'BF'!K28</f>
        <v>− Dettes d'exploitatioin</v>
      </c>
      <c r="C173" s="671">
        <f>'BF'!L28</f>
        <v>-2489045</v>
      </c>
      <c r="D173" s="672">
        <f>'BF'!M28</f>
        <v>-2489045</v>
      </c>
      <c r="E173" s="671">
        <f>'BF'!N28</f>
        <v>0</v>
      </c>
      <c r="F173" s="672">
        <f>'BF'!O28</f>
        <v>0</v>
      </c>
      <c r="G173" s="657">
        <f>'BF'!P28</f>
        <v>0</v>
      </c>
      <c r="H173" s="658">
        <f>'BF'!Q28</f>
        <v>0</v>
      </c>
      <c r="P173" s="890"/>
      <c r="Q173" s="890"/>
    </row>
    <row r="174" spans="2:17" s="8" customFormat="1" ht="13.5" thickBot="1">
      <c r="B174" s="656">
        <f>'BF'!K29</f>
        <v>0</v>
      </c>
      <c r="C174" s="673">
        <f>'BF'!L29</f>
        <v>1508743</v>
      </c>
      <c r="D174" s="675">
        <f>'BF'!M29</f>
        <v>1521543</v>
      </c>
      <c r="E174" s="673">
        <f>'BF'!N29</f>
        <v>0</v>
      </c>
      <c r="F174" s="675">
        <f>'BF'!O29</f>
        <v>0</v>
      </c>
      <c r="G174" s="657">
        <f>'BF'!P29</f>
        <v>1508743</v>
      </c>
      <c r="H174" s="658">
        <f>'BF'!Q29</f>
        <v>0</v>
      </c>
      <c r="P174" s="890"/>
      <c r="Q174" s="890"/>
    </row>
    <row r="175" spans="2:17" s="8" customFormat="1" ht="13.5" thickBot="1">
      <c r="B175" s="2016" t="str">
        <f>'BF'!K31</f>
        <v>Besoin de Fond de Roulement hors d' Exploitation ( BFRE )</v>
      </c>
      <c r="C175" s="2017"/>
      <c r="D175" s="2017"/>
      <c r="E175" s="2017"/>
      <c r="F175" s="2017"/>
      <c r="G175" s="2017"/>
      <c r="H175" s="2018"/>
      <c r="P175" s="890"/>
      <c r="Q175" s="890"/>
    </row>
    <row r="176" spans="2:17" s="8" customFormat="1" ht="12.75">
      <c r="B176" s="713" t="str">
        <f>'BF'!K32</f>
        <v>Créance hors exploitation</v>
      </c>
      <c r="C176" s="685">
        <f>'BF'!L32</f>
        <v>14000</v>
      </c>
      <c r="D176" s="686">
        <f>'BF'!M32</f>
        <v>14000</v>
      </c>
      <c r="E176" s="685">
        <f>'BF'!N32</f>
        <v>40800</v>
      </c>
      <c r="F176" s="686">
        <f>'BF'!O32</f>
        <v>0</v>
      </c>
      <c r="G176" s="714">
        <f>'BF'!P32</f>
        <v>0</v>
      </c>
      <c r="H176" s="715">
        <f>'BF'!Q32</f>
        <v>0</v>
      </c>
      <c r="P176" s="890"/>
      <c r="Q176" s="890"/>
    </row>
    <row r="177" spans="2:17" s="8" customFormat="1" ht="12.75">
      <c r="B177" s="605" t="str">
        <f>'BF'!K33</f>
        <v>Dette d'exploitation</v>
      </c>
      <c r="C177" s="687">
        <f>'BF'!L33</f>
        <v>-168659</v>
      </c>
      <c r="D177" s="688">
        <f>'BF'!M33</f>
        <v>-168659</v>
      </c>
      <c r="E177" s="687">
        <f>'BF'!N33</f>
        <v>135790</v>
      </c>
      <c r="F177" s="688">
        <f>'BF'!O33</f>
        <v>0</v>
      </c>
      <c r="G177" s="542">
        <f>'BF'!P33</f>
        <v>0</v>
      </c>
      <c r="H177" s="572">
        <f>'BF'!Q33</f>
        <v>0</v>
      </c>
      <c r="P177" s="890"/>
      <c r="Q177" s="890"/>
    </row>
    <row r="178" spans="2:17" s="8" customFormat="1" ht="13.5" thickBot="1">
      <c r="B178" s="605">
        <f>'BF'!K34</f>
        <v>0</v>
      </c>
      <c r="C178" s="681">
        <f>'BF'!L34</f>
        <v>-154659</v>
      </c>
      <c r="D178" s="682">
        <f>'BF'!M34</f>
        <v>-154659</v>
      </c>
      <c r="E178" s="681">
        <f>'BF'!N34</f>
        <v>-94990</v>
      </c>
      <c r="F178" s="682">
        <f>'BF'!O34</f>
        <v>0</v>
      </c>
      <c r="G178" s="657">
        <f>'BF'!P34</f>
        <v>-59669</v>
      </c>
      <c r="H178" s="572">
        <f>'BF'!Q34</f>
        <v>0</v>
      </c>
      <c r="P178" s="890"/>
      <c r="Q178" s="890"/>
    </row>
    <row r="179" spans="2:17" s="8" customFormat="1" ht="13.5" thickBot="1">
      <c r="B179" s="2008" t="str">
        <f>'BF'!K36</f>
        <v>Trésorerie</v>
      </c>
      <c r="C179" s="2009"/>
      <c r="D179" s="2009"/>
      <c r="E179" s="2009"/>
      <c r="F179" s="2009"/>
      <c r="G179" s="2009"/>
      <c r="H179" s="2010"/>
      <c r="P179" s="890"/>
      <c r="Q179" s="890"/>
    </row>
    <row r="180" spans="2:17" s="8" customFormat="1" ht="12.75">
      <c r="B180" s="723" t="str">
        <f>'BF'!K37</f>
        <v>   F R N G</v>
      </c>
      <c r="C180" s="685">
        <f>'BF'!L37</f>
        <v>1603384</v>
      </c>
      <c r="D180" s="686">
        <f>'BF'!M37</f>
        <v>1603384</v>
      </c>
      <c r="E180" s="685">
        <f>'BF'!N37</f>
        <v>1427343</v>
      </c>
      <c r="F180" s="686">
        <f>'BF'!O37</f>
        <v>0</v>
      </c>
      <c r="G180" s="724">
        <f>'BF'!P37</f>
        <v>0</v>
      </c>
      <c r="H180" s="725">
        <f>'BF'!Q37</f>
        <v>0</v>
      </c>
      <c r="P180" s="890"/>
      <c r="Q180" s="890"/>
    </row>
    <row r="181" spans="2:17" s="8" customFormat="1" ht="12.75">
      <c r="B181" s="656" t="str">
        <f>'BF'!K38</f>
        <v>− B F R</v>
      </c>
      <c r="C181" s="687">
        <f>'BF'!L38</f>
        <v>-1354084</v>
      </c>
      <c r="D181" s="688">
        <f>'BF'!M38</f>
        <v>-1366884</v>
      </c>
      <c r="E181" s="687">
        <f>'BF'!N38</f>
        <v>-1292723</v>
      </c>
      <c r="F181" s="688">
        <f>'BF'!O38</f>
        <v>0</v>
      </c>
      <c r="G181" s="657">
        <f>'BF'!P38</f>
        <v>0</v>
      </c>
      <c r="H181" s="658">
        <f>'BF'!Q38</f>
        <v>0</v>
      </c>
      <c r="P181" s="890"/>
      <c r="Q181" s="890"/>
    </row>
    <row r="182" spans="2:17" s="8" customFormat="1" ht="12.75">
      <c r="B182" s="726" t="str">
        <f>'BF'!K39</f>
        <v>Trésorerie</v>
      </c>
      <c r="C182" s="671">
        <f>'BF'!L39</f>
        <v>249300</v>
      </c>
      <c r="D182" s="672">
        <f>'BF'!M39</f>
        <v>236500</v>
      </c>
      <c r="E182" s="671">
        <f>'BF'!N39</f>
        <v>134620</v>
      </c>
      <c r="F182" s="672">
        <f>'BF'!O39</f>
        <v>0</v>
      </c>
      <c r="G182" s="719">
        <f>'BF'!P39</f>
        <v>114680</v>
      </c>
      <c r="H182" s="727">
        <f>'BF'!Q39</f>
        <v>0</v>
      </c>
      <c r="P182" s="890"/>
      <c r="Q182" s="890"/>
    </row>
    <row r="183" spans="2:17" s="8" customFormat="1" ht="12.75">
      <c r="B183" s="656" t="str">
        <f>'BF'!K41</f>
        <v>Trésorerie active</v>
      </c>
      <c r="C183" s="681">
        <f>'BF'!L41</f>
        <v>263800</v>
      </c>
      <c r="D183" s="682">
        <f>'BF'!M41</f>
        <v>263800</v>
      </c>
      <c r="E183" s="681">
        <f>'BF'!N41</f>
        <v>146120</v>
      </c>
      <c r="F183" s="682">
        <f>'BF'!O41</f>
        <v>0</v>
      </c>
      <c r="G183" s="657">
        <f>'BF'!P41</f>
        <v>0</v>
      </c>
      <c r="H183" s="658">
        <f>'BF'!Q41</f>
        <v>0</v>
      </c>
      <c r="P183" s="890"/>
      <c r="Q183" s="890"/>
    </row>
    <row r="184" spans="2:17" s="8" customFormat="1" ht="12.75">
      <c r="B184" s="656" t="str">
        <f>'BF'!K42</f>
        <v>Trésorerie passive</v>
      </c>
      <c r="C184" s="687">
        <f>'BF'!L42</f>
        <v>-14500</v>
      </c>
      <c r="D184" s="688">
        <f>'BF'!M42</f>
        <v>-27300</v>
      </c>
      <c r="E184" s="687">
        <f>'BF'!N42</f>
        <v>-11500</v>
      </c>
      <c r="F184" s="688">
        <f>'BF'!O42</f>
        <v>0</v>
      </c>
      <c r="G184" s="657">
        <f>'BF'!P42</f>
        <v>0</v>
      </c>
      <c r="H184" s="658">
        <f>'BF'!Q42</f>
        <v>0</v>
      </c>
      <c r="P184" s="890"/>
      <c r="Q184" s="890"/>
    </row>
    <row r="185" spans="2:17" s="8" customFormat="1" ht="13.5" thickBot="1">
      <c r="B185" s="667" t="str">
        <f>'BF'!K43</f>
        <v>Trésorerie</v>
      </c>
      <c r="C185" s="676">
        <f>'BF'!L43</f>
        <v>249300</v>
      </c>
      <c r="D185" s="677">
        <f>'BF'!M43</f>
        <v>291100</v>
      </c>
      <c r="E185" s="676">
        <f>'BF'!N43</f>
        <v>134620</v>
      </c>
      <c r="F185" s="677">
        <f>'BF'!O43</f>
        <v>0</v>
      </c>
      <c r="G185" s="712">
        <f>'BF'!P43</f>
        <v>114680</v>
      </c>
      <c r="H185" s="668">
        <f>'BF'!Q43</f>
        <v>0</v>
      </c>
      <c r="P185" s="890"/>
      <c r="Q185" s="890"/>
    </row>
    <row r="186" spans="3:17" s="8" customFormat="1" ht="12.75">
      <c r="C186" s="47"/>
      <c r="D186" s="47"/>
      <c r="E186" s="47"/>
      <c r="F186" s="47"/>
      <c r="G186" s="47"/>
      <c r="H186" s="47"/>
      <c r="P186" s="890"/>
      <c r="Q186" s="890"/>
    </row>
    <row r="187" spans="2:17" s="8" customFormat="1" ht="12.75">
      <c r="B187" s="1990" t="str">
        <f>'BF'!Y15</f>
        <v>RATIOS STRUCTURELLES</v>
      </c>
      <c r="C187" s="1991"/>
      <c r="D187" s="1991"/>
      <c r="E187" s="1991"/>
      <c r="F187" s="1992"/>
      <c r="G187" s="47"/>
      <c r="H187" s="47"/>
      <c r="J187" s="767" t="s">
        <v>648</v>
      </c>
      <c r="K187" s="767"/>
      <c r="P187" s="890"/>
      <c r="Q187" s="890"/>
    </row>
    <row r="188" spans="2:17" s="8" customFormat="1" ht="12.75">
      <c r="B188" s="541" t="str">
        <f>'BF'!Y16</f>
        <v>Ressources stables</v>
      </c>
      <c r="C188" s="542">
        <f>'BF'!Z16</f>
        <v>0</v>
      </c>
      <c r="D188" s="542">
        <f>'BF'!AA16</f>
        <v>1325742</v>
      </c>
      <c r="E188" s="542">
        <f>'BF'!AB16</f>
        <v>3273124</v>
      </c>
      <c r="F188" s="540">
        <f>'BF'!AC16</f>
        <v>2903463</v>
      </c>
      <c r="G188" s="47"/>
      <c r="H188" s="47"/>
      <c r="P188" s="890"/>
      <c r="Q188" s="890"/>
    </row>
    <row r="189" spans="2:17" s="8" customFormat="1" ht="12.75">
      <c r="B189" s="541" t="str">
        <f>'BF'!Y17</f>
        <v>Emplois Stable</v>
      </c>
      <c r="C189" s="542">
        <f>'BF'!Z17</f>
        <v>0</v>
      </c>
      <c r="D189" s="542">
        <f>'BF'!AA17</f>
        <v>-86892</v>
      </c>
      <c r="E189" s="542">
        <f>'BF'!AB17</f>
        <v>1669740</v>
      </c>
      <c r="F189" s="540">
        <f>'BF'!AC17</f>
        <v>1476120</v>
      </c>
      <c r="G189" s="47"/>
      <c r="H189" s="47"/>
      <c r="P189" s="890"/>
      <c r="Q189" s="890"/>
    </row>
    <row r="190" spans="2:17" s="8" customFormat="1" ht="12.75">
      <c r="B190" s="541">
        <f>'BF'!Y20</f>
        <v>0</v>
      </c>
      <c r="C190" s="542">
        <f>'BF'!Z20</f>
        <v>0</v>
      </c>
      <c r="D190" s="542">
        <f>'BF'!AA20</f>
        <v>0</v>
      </c>
      <c r="E190" s="542">
        <f>'BF'!AB20</f>
        <v>0</v>
      </c>
      <c r="F190" s="540">
        <f>'BF'!AC20</f>
        <v>0</v>
      </c>
      <c r="G190" s="47"/>
      <c r="H190" s="47"/>
      <c r="P190" s="890"/>
      <c r="Q190" s="890"/>
    </row>
    <row r="191" spans="2:17" s="8" customFormat="1" ht="12.75">
      <c r="B191" s="541" t="str">
        <f>'BF'!Y21</f>
        <v>Trésorerie active</v>
      </c>
      <c r="C191" s="542">
        <f>'BF'!Z21</f>
        <v>0</v>
      </c>
      <c r="D191" s="542">
        <f>'BF'!AA21</f>
        <v>0</v>
      </c>
      <c r="E191" s="542">
        <f>'BF'!AB21</f>
        <v>14500</v>
      </c>
      <c r="F191" s="540">
        <f>'BF'!AC21</f>
        <v>11500</v>
      </c>
      <c r="G191" s="47"/>
      <c r="H191" s="47"/>
      <c r="P191" s="890"/>
      <c r="Q191" s="890"/>
    </row>
    <row r="192" spans="2:17" s="8" customFormat="1" ht="12.75">
      <c r="B192" s="541">
        <f>'BF'!Y22</f>
        <v>0</v>
      </c>
      <c r="C192" s="542">
        <f>'BF'!Z22</f>
        <v>0</v>
      </c>
      <c r="D192" s="542">
        <f>'BF'!AA22</f>
        <v>0</v>
      </c>
      <c r="E192" s="542">
        <f>'BF'!AB22</f>
        <v>0</v>
      </c>
      <c r="F192" s="540">
        <f>'BF'!AC22</f>
        <v>0</v>
      </c>
      <c r="G192" s="47"/>
      <c r="H192" s="47"/>
      <c r="P192" s="890"/>
      <c r="Q192" s="890"/>
    </row>
    <row r="193" spans="2:17" s="8" customFormat="1" ht="12.75">
      <c r="B193" s="541" t="str">
        <f>'BF'!Y23</f>
        <v>Endettement :</v>
      </c>
      <c r="C193" s="542">
        <f>'BF'!Z23</f>
        <v>0</v>
      </c>
      <c r="D193" s="542">
        <f>'BF'!AA23</f>
        <v>0</v>
      </c>
      <c r="E193" s="542">
        <f>'BF'!AB23</f>
        <v>0</v>
      </c>
      <c r="F193" s="540">
        <f>'BF'!AC23</f>
        <v>0</v>
      </c>
      <c r="G193" s="47"/>
      <c r="H193" s="47"/>
      <c r="P193" s="890"/>
      <c r="Q193" s="890"/>
    </row>
    <row r="194" spans="2:17" s="8" customFormat="1" ht="12.75">
      <c r="B194" s="541" t="str">
        <f>'BF'!Y24</f>
        <v>Dettes financières</v>
      </c>
      <c r="C194" s="542">
        <f>'BF'!Z24</f>
        <v>0</v>
      </c>
      <c r="D194" s="542">
        <f>'BF'!AA24</f>
        <v>1218550</v>
      </c>
      <c r="E194" s="542">
        <f>'BF'!AB24</f>
        <v>1260550</v>
      </c>
      <c r="F194" s="540">
        <f>'BF'!AC24</f>
        <v>1294900</v>
      </c>
      <c r="G194" s="47"/>
      <c r="H194" s="47"/>
      <c r="P194" s="890"/>
      <c r="Q194" s="890"/>
    </row>
    <row r="195" spans="2:17" s="8" customFormat="1" ht="12.75">
      <c r="B195" s="541" t="str">
        <f>'BF'!Y25</f>
        <v>Trésorerie passives</v>
      </c>
      <c r="C195" s="542">
        <f>'BF'!Z25</f>
        <v>0</v>
      </c>
      <c r="D195" s="542">
        <f>'BF'!AA25</f>
        <v>14500</v>
      </c>
      <c r="E195" s="542">
        <f>'BF'!AB25</f>
        <v>14500</v>
      </c>
      <c r="F195" s="540">
        <f>'BF'!AC25</f>
        <v>11500</v>
      </c>
      <c r="G195" s="47"/>
      <c r="H195" s="47"/>
      <c r="P195" s="890"/>
      <c r="Q195" s="890"/>
    </row>
    <row r="196" spans="2:17" s="8" customFormat="1" ht="12.75">
      <c r="B196" s="699" t="str">
        <f>'BF'!Y26</f>
        <v>Endettement financier</v>
      </c>
      <c r="C196" s="700">
        <f>'BF'!Z26</f>
        <v>0</v>
      </c>
      <c r="D196" s="700">
        <f>'BF'!AA26</f>
        <v>1233050</v>
      </c>
      <c r="E196" s="700">
        <f>'BF'!AB26</f>
        <v>1275050</v>
      </c>
      <c r="F196" s="701">
        <f>'BF'!AC26</f>
        <v>1306400</v>
      </c>
      <c r="G196" s="47"/>
      <c r="H196" s="47"/>
      <c r="P196" s="890"/>
      <c r="Q196" s="890"/>
    </row>
    <row r="197" spans="2:17" s="8" customFormat="1" ht="12.75">
      <c r="B197" s="541" t="str">
        <f>'BF'!Y27</f>
        <v>Capitaux propres</v>
      </c>
      <c r="C197" s="542">
        <f>'BF'!Z27</f>
        <v>0</v>
      </c>
      <c r="D197" s="542">
        <f>'BF'!AA27</f>
        <v>0</v>
      </c>
      <c r="E197" s="542">
        <f>'BF'!AB27</f>
        <v>1438064</v>
      </c>
      <c r="F197" s="540">
        <f>'BF'!AC27</f>
        <v>1056563</v>
      </c>
      <c r="G197" s="47"/>
      <c r="H197" s="47"/>
      <c r="P197" s="890"/>
      <c r="Q197" s="890"/>
    </row>
    <row r="198" spans="2:17" s="8" customFormat="1" ht="12.75">
      <c r="B198" s="541" t="str">
        <f>'BF'!Y28</f>
        <v>Dotation et provision</v>
      </c>
      <c r="C198" s="542">
        <f>'BF'!Z28</f>
        <v>0</v>
      </c>
      <c r="D198" s="542">
        <f>'BF'!AA28</f>
        <v>0</v>
      </c>
      <c r="E198" s="542">
        <f>'BF'!AB28</f>
        <v>614510</v>
      </c>
      <c r="F198" s="540">
        <f>'BF'!AC28</f>
        <v>552000</v>
      </c>
      <c r="G198" s="47"/>
      <c r="H198" s="47"/>
      <c r="P198" s="890"/>
      <c r="Q198" s="890"/>
    </row>
    <row r="199" spans="2:17" s="8" customFormat="1" ht="12.75">
      <c r="B199" s="699" t="str">
        <f>'BF'!Y29</f>
        <v>Ressources Propres</v>
      </c>
      <c r="C199" s="700">
        <f>'BF'!Z29</f>
        <v>0</v>
      </c>
      <c r="D199" s="700">
        <f>'BF'!AA29</f>
        <v>0</v>
      </c>
      <c r="E199" s="700">
        <f>'BF'!AB29</f>
        <v>2052574</v>
      </c>
      <c r="F199" s="701">
        <f>'BF'!AC29</f>
        <v>1608563</v>
      </c>
      <c r="G199" s="47"/>
      <c r="H199" s="47"/>
      <c r="P199" s="890"/>
      <c r="Q199" s="890"/>
    </row>
    <row r="200" spans="2:17" s="8" customFormat="1" ht="12.75">
      <c r="B200" s="1990" t="str">
        <f>'BF'!Y31</f>
        <v>RATIOS DE ROTATION</v>
      </c>
      <c r="C200" s="1991"/>
      <c r="D200" s="1991"/>
      <c r="E200" s="1991"/>
      <c r="F200" s="1992"/>
      <c r="G200" s="47"/>
      <c r="H200" s="47"/>
      <c r="P200" s="890"/>
      <c r="Q200" s="890"/>
    </row>
    <row r="201" spans="2:17" s="8" customFormat="1" ht="12.75">
      <c r="B201" s="698">
        <f>'BF'!Y32</f>
        <v>0</v>
      </c>
      <c r="C201" s="542">
        <f>'BF'!Z32</f>
        <v>0</v>
      </c>
      <c r="D201" s="542">
        <f>'BF'!AA32</f>
        <v>0</v>
      </c>
      <c r="E201" s="542">
        <f>'BF'!AB32</f>
        <v>0</v>
      </c>
      <c r="F201" s="540">
        <f>'BF'!AC32</f>
        <v>0</v>
      </c>
      <c r="G201" s="47"/>
      <c r="H201" s="47"/>
      <c r="P201" s="890"/>
      <c r="Q201" s="890"/>
    </row>
    <row r="202" spans="2:17" s="8" customFormat="1" ht="12.75">
      <c r="B202" s="541" t="str">
        <f>'BF'!Y33</f>
        <v>Besoin de fond de roulement net</v>
      </c>
      <c r="C202" s="542">
        <f>'BF'!Z33</f>
        <v>0</v>
      </c>
      <c r="D202" s="542">
        <f>'BF'!AA33</f>
        <v>0</v>
      </c>
      <c r="E202" s="542">
        <f>'BF'!AB33</f>
        <v>1508743</v>
      </c>
      <c r="F202" s="540">
        <f>'BF'!AC33</f>
        <v>1521543</v>
      </c>
      <c r="G202" s="47"/>
      <c r="H202" s="47"/>
      <c r="P202" s="890"/>
      <c r="Q202" s="890"/>
    </row>
    <row r="203" spans="2:17" s="8" customFormat="1" ht="12.75">
      <c r="B203" s="541" t="str">
        <f>'BF'!Y34</f>
        <v>CA</v>
      </c>
      <c r="C203" s="542">
        <f>'BF'!Z34</f>
        <v>0</v>
      </c>
      <c r="D203" s="542">
        <f>'BF'!AA34</f>
        <v>0</v>
      </c>
      <c r="E203" s="542">
        <f>'BF'!AB34</f>
        <v>9238580</v>
      </c>
      <c r="F203" s="540">
        <f>'BF'!AC34</f>
        <v>0</v>
      </c>
      <c r="G203" s="47"/>
      <c r="H203" s="47"/>
      <c r="P203" s="890"/>
      <c r="Q203" s="890"/>
    </row>
    <row r="204" spans="2:17" s="8" customFormat="1" ht="12.75">
      <c r="B204" s="541" t="str">
        <f>'BF'!Y35</f>
        <v>B F R E / C A</v>
      </c>
      <c r="C204" s="613">
        <f>'BF'!Z35</f>
        <v>0</v>
      </c>
      <c r="D204" s="613">
        <f>'BF'!AA35</f>
        <v>0</v>
      </c>
      <c r="E204" s="613">
        <f>'BF'!AB35</f>
        <v>0.16330897172509196</v>
      </c>
      <c r="F204" s="614">
        <f>'BF'!AC35</f>
        <v>0</v>
      </c>
      <c r="G204" s="47"/>
      <c r="H204" s="47"/>
      <c r="P204" s="890"/>
      <c r="Q204" s="890"/>
    </row>
    <row r="205" spans="2:17" s="8" customFormat="1" ht="12.75">
      <c r="B205" s="541">
        <f>'BF'!Y36</f>
        <v>0</v>
      </c>
      <c r="C205" s="542" t="s">
        <v>642</v>
      </c>
      <c r="D205" s="542" t="s">
        <v>643</v>
      </c>
      <c r="E205" s="542">
        <f>'BF'!AB36</f>
        <v>0</v>
      </c>
      <c r="F205" s="540">
        <f>'BF'!AC36</f>
        <v>0</v>
      </c>
      <c r="G205" s="47"/>
      <c r="H205" s="47"/>
      <c r="P205" s="890"/>
      <c r="Q205" s="890"/>
    </row>
    <row r="206" spans="2:17" s="8" customFormat="1" ht="12.75">
      <c r="B206" s="541" t="s">
        <v>641</v>
      </c>
      <c r="C206" s="542">
        <f>'BF'!Z38</f>
        <v>0</v>
      </c>
      <c r="D206" s="542">
        <f>'BF'!AA38</f>
        <v>0</v>
      </c>
      <c r="E206" s="542">
        <f>'BF'!AB38</f>
        <v>1087840</v>
      </c>
      <c r="F206" s="540">
        <f>'BF'!AC38</f>
        <v>0</v>
      </c>
      <c r="G206" s="47"/>
      <c r="H206" s="47"/>
      <c r="P206" s="890"/>
      <c r="Q206" s="890"/>
    </row>
    <row r="207" spans="2:17" s="8" customFormat="1" ht="12.75">
      <c r="B207" s="541"/>
      <c r="C207" s="542">
        <f>'BF'!Z39</f>
        <v>0</v>
      </c>
      <c r="D207" s="542">
        <f>'BF'!AA39</f>
        <v>0</v>
      </c>
      <c r="E207" s="542">
        <f>'BF'!AB39</f>
        <v>1043200</v>
      </c>
      <c r="F207" s="540">
        <f>'BF'!AC39</f>
        <v>0</v>
      </c>
      <c r="G207" s="47"/>
      <c r="H207" s="47"/>
      <c r="P207" s="890"/>
      <c r="Q207" s="890"/>
    </row>
    <row r="208" spans="2:17" s="8" customFormat="1" ht="12.75">
      <c r="B208" s="541" t="str">
        <f>'BF'!Y40</f>
        <v>Stock moyen ( sur coût d'achat des marchandises)</v>
      </c>
      <c r="C208" s="542">
        <f>'BF'!Z40</f>
        <v>0</v>
      </c>
      <c r="D208" s="542">
        <f>'BF'!AA40</f>
        <v>0</v>
      </c>
      <c r="E208" s="542">
        <f>'BF'!AB40</f>
        <v>1065520</v>
      </c>
      <c r="F208" s="540">
        <f>'BF'!AC40</f>
        <v>0</v>
      </c>
      <c r="G208" s="47"/>
      <c r="H208" s="47"/>
      <c r="P208" s="890"/>
      <c r="Q208" s="890"/>
    </row>
    <row r="209" spans="2:17" s="8" customFormat="1" ht="12.75">
      <c r="B209" s="541" t="str">
        <f>'BF'!Y41</f>
        <v>Coût d'achat des marchandises</v>
      </c>
      <c r="C209" s="542">
        <f>'BF'!Z41</f>
        <v>0</v>
      </c>
      <c r="D209" s="542">
        <f>'BF'!AA41</f>
        <v>0</v>
      </c>
      <c r="E209" s="542">
        <f>'BF'!AB41</f>
        <v>3753000</v>
      </c>
      <c r="F209" s="540">
        <f>'BF'!AC41</f>
        <v>0</v>
      </c>
      <c r="G209" s="47"/>
      <c r="H209" s="47"/>
      <c r="P209" s="890"/>
      <c r="Q209" s="890"/>
    </row>
    <row r="210" spans="2:17" s="8" customFormat="1" ht="12.75">
      <c r="B210" s="541">
        <f>'BF'!Y42</f>
        <v>0</v>
      </c>
      <c r="C210" s="542">
        <f>'BF'!Z42</f>
        <v>0</v>
      </c>
      <c r="D210" s="542">
        <f>'BF'!AA42</f>
        <v>0</v>
      </c>
      <c r="E210" s="542">
        <f>'BF'!AB42</f>
        <v>102.20815347721823</v>
      </c>
      <c r="F210" s="540">
        <f>'BF'!AC42</f>
        <v>0</v>
      </c>
      <c r="G210" s="47"/>
      <c r="H210" s="47"/>
      <c r="P210" s="890"/>
      <c r="Q210" s="890"/>
    </row>
    <row r="211" spans="2:17" s="8" customFormat="1" ht="12.75">
      <c r="B211" s="541">
        <f>'BF'!Y43</f>
        <v>0</v>
      </c>
      <c r="C211" s="542">
        <f>'BF'!Z43</f>
        <v>0</v>
      </c>
      <c r="D211" s="542">
        <f>'BF'!AA43</f>
        <v>0</v>
      </c>
      <c r="E211" s="542">
        <f>'BF'!AB43</f>
        <v>0</v>
      </c>
      <c r="F211" s="540">
        <f>'BF'!AC43</f>
        <v>0</v>
      </c>
      <c r="G211" s="47"/>
      <c r="H211" s="47"/>
      <c r="P211" s="890"/>
      <c r="Q211" s="890"/>
    </row>
    <row r="212" spans="2:17" s="8" customFormat="1" ht="12.75">
      <c r="B212" s="615" t="str">
        <f>'BF'!Y44</f>
        <v>Stock initiale</v>
      </c>
      <c r="C212" s="551">
        <f>'BF'!Z44</f>
        <v>0</v>
      </c>
      <c r="D212" s="551">
        <f>'BF'!AA44</f>
        <v>0</v>
      </c>
      <c r="E212" s="551">
        <f>'BF'!AB44</f>
        <v>254040</v>
      </c>
      <c r="F212" s="550">
        <f>'BF'!AC44</f>
        <v>0</v>
      </c>
      <c r="G212" s="47"/>
      <c r="H212" s="47"/>
      <c r="P212" s="890"/>
      <c r="Q212" s="890"/>
    </row>
    <row r="213" spans="2:17" s="8" customFormat="1" ht="12.75">
      <c r="B213" s="542"/>
      <c r="C213" s="542"/>
      <c r="D213" s="542"/>
      <c r="E213" s="542"/>
      <c r="F213" s="542"/>
      <c r="G213" s="47"/>
      <c r="H213" s="47"/>
      <c r="P213" s="890"/>
      <c r="Q213" s="890"/>
    </row>
    <row r="214" spans="2:17" s="8" customFormat="1" ht="12.75">
      <c r="B214" s="542"/>
      <c r="C214" s="542"/>
      <c r="D214" s="542"/>
      <c r="E214" s="542"/>
      <c r="F214" s="542"/>
      <c r="G214" s="47"/>
      <c r="H214" s="47"/>
      <c r="P214" s="890"/>
      <c r="Q214" s="890"/>
    </row>
    <row r="215" spans="2:17" s="8" customFormat="1" ht="12.75">
      <c r="B215" s="542"/>
      <c r="C215" s="542"/>
      <c r="D215" s="542"/>
      <c r="E215" s="542"/>
      <c r="F215" s="542"/>
      <c r="G215" s="47"/>
      <c r="H215" s="47"/>
      <c r="P215" s="890"/>
      <c r="Q215" s="890"/>
    </row>
    <row r="216" spans="2:17" s="8" customFormat="1" ht="12.75">
      <c r="B216" s="542"/>
      <c r="C216" s="542"/>
      <c r="D216" s="542"/>
      <c r="E216" s="542"/>
      <c r="F216" s="542"/>
      <c r="G216" s="47"/>
      <c r="H216" s="47"/>
      <c r="P216" s="890"/>
      <c r="Q216" s="890"/>
    </row>
    <row r="217" spans="2:17" s="8" customFormat="1" ht="12.75">
      <c r="B217" s="542"/>
      <c r="C217" s="542"/>
      <c r="D217" s="542"/>
      <c r="E217" s="542"/>
      <c r="F217" s="542"/>
      <c r="G217" s="47"/>
      <c r="H217" s="47"/>
      <c r="P217" s="890"/>
      <c r="Q217" s="890"/>
    </row>
    <row r="218" spans="2:17" s="8" customFormat="1" ht="12.75">
      <c r="B218" s="542"/>
      <c r="C218" s="542"/>
      <c r="D218" s="542"/>
      <c r="E218" s="542"/>
      <c r="F218" s="542"/>
      <c r="G218" s="47"/>
      <c r="H218" s="47"/>
      <c r="P218" s="890"/>
      <c r="Q218" s="890"/>
    </row>
    <row r="219" spans="2:17" s="8" customFormat="1" ht="12.75">
      <c r="B219" s="542"/>
      <c r="C219" s="542"/>
      <c r="D219" s="542"/>
      <c r="E219" s="542"/>
      <c r="F219" s="542"/>
      <c r="G219" s="47"/>
      <c r="H219" s="47"/>
      <c r="P219" s="890"/>
      <c r="Q219" s="890"/>
    </row>
    <row r="220" spans="2:17" s="8" customFormat="1" ht="12.75">
      <c r="B220" s="542"/>
      <c r="C220" s="542"/>
      <c r="D220" s="542"/>
      <c r="E220" s="542"/>
      <c r="F220" s="542"/>
      <c r="G220" s="47"/>
      <c r="H220" s="47"/>
      <c r="P220" s="890"/>
      <c r="Q220" s="890"/>
    </row>
    <row r="221" spans="2:17" s="8" customFormat="1" ht="12.75">
      <c r="B221" s="542"/>
      <c r="C221" s="542"/>
      <c r="D221" s="542"/>
      <c r="E221" s="542"/>
      <c r="F221" s="542"/>
      <c r="G221" s="47"/>
      <c r="H221" s="47"/>
      <c r="P221" s="890"/>
      <c r="Q221" s="890"/>
    </row>
    <row r="222" spans="2:17" s="8" customFormat="1" ht="12.75">
      <c r="B222" s="542"/>
      <c r="C222" s="542"/>
      <c r="D222" s="542"/>
      <c r="E222" s="542"/>
      <c r="F222" s="542"/>
      <c r="G222" s="47"/>
      <c r="H222" s="47"/>
      <c r="P222" s="890"/>
      <c r="Q222" s="890"/>
    </row>
    <row r="223" spans="2:29" ht="12.75">
      <c r="B223" s="509" t="s">
        <v>600</v>
      </c>
      <c r="C223" s="786" t="s">
        <v>162</v>
      </c>
      <c r="D223" s="786" t="s">
        <v>163</v>
      </c>
      <c r="E223" s="786" t="s">
        <v>164</v>
      </c>
      <c r="F223" s="786" t="s">
        <v>165</v>
      </c>
      <c r="G223" s="786" t="s">
        <v>451</v>
      </c>
      <c r="H223" s="786" t="s">
        <v>453</v>
      </c>
      <c r="I223" s="787" t="s">
        <v>454</v>
      </c>
      <c r="J223" s="767" t="s">
        <v>648</v>
      </c>
      <c r="K223" s="767"/>
      <c r="L223" s="303" t="s">
        <v>631</v>
      </c>
      <c r="M223" s="303"/>
      <c r="N223" s="303"/>
      <c r="O223" s="303"/>
      <c r="P223" s="891"/>
      <c r="Q223" s="891"/>
      <c r="R223" s="303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22"/>
    </row>
    <row r="224" spans="2:29" ht="12.75">
      <c r="B224" s="29" t="s">
        <v>166</v>
      </c>
      <c r="C224" s="47"/>
      <c r="D224" s="47"/>
      <c r="E224" s="47"/>
      <c r="F224" s="47"/>
      <c r="G224" s="47"/>
      <c r="H224" s="8"/>
      <c r="I224" s="23"/>
      <c r="L224" s="8" t="s">
        <v>632</v>
      </c>
      <c r="M224" s="8"/>
      <c r="N224" s="8"/>
      <c r="O224" s="8"/>
      <c r="P224" s="890"/>
      <c r="Q224" s="890"/>
      <c r="R224" s="8"/>
      <c r="S224" s="8"/>
      <c r="T224" s="8" t="str">
        <f>MID(L224,1,2)</f>
        <v>1 </v>
      </c>
      <c r="U224" s="8"/>
      <c r="V224" s="8"/>
      <c r="W224" s="8"/>
      <c r="X224" s="8"/>
      <c r="Y224" s="8"/>
      <c r="Z224" s="8"/>
      <c r="AA224" s="8"/>
      <c r="AB224" s="8" t="e">
        <f>#REF!</f>
        <v>#REF!</v>
      </c>
      <c r="AC224" s="23" t="e">
        <f>T224*AB224</f>
        <v>#REF!</v>
      </c>
    </row>
    <row r="225" spans="2:29" ht="12.75">
      <c r="B225" s="29" t="s">
        <v>167</v>
      </c>
      <c r="C225" s="47"/>
      <c r="D225" s="47"/>
      <c r="E225" s="47"/>
      <c r="F225" s="47"/>
      <c r="G225" s="47"/>
      <c r="H225" s="8"/>
      <c r="I225" s="23"/>
      <c r="L225" s="8"/>
      <c r="M225" s="8"/>
      <c r="N225" s="8"/>
      <c r="O225" s="8"/>
      <c r="P225" s="890"/>
      <c r="Q225" s="890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 t="e">
        <f>AB224</f>
        <v>#REF!</v>
      </c>
      <c r="AC225" s="23" t="e">
        <f aca="true" t="shared" si="20" ref="AC225:AC251">IF(OR(AB225=0,T225=""),"",T225*AB225)</f>
        <v>#REF!</v>
      </c>
    </row>
    <row r="226" spans="2:29" ht="12.75">
      <c r="B226" s="29" t="s">
        <v>168</v>
      </c>
      <c r="C226" s="47"/>
      <c r="D226" s="47"/>
      <c r="E226" s="47"/>
      <c r="F226" s="47"/>
      <c r="G226" s="47"/>
      <c r="H226" s="8"/>
      <c r="I226" s="23"/>
      <c r="L226" s="8" t="s">
        <v>633</v>
      </c>
      <c r="M226" s="8"/>
      <c r="N226" s="8"/>
      <c r="O226" s="8"/>
      <c r="P226" s="890"/>
      <c r="Q226" s="890"/>
      <c r="R226" s="8"/>
      <c r="S226" s="8"/>
      <c r="T226" s="8" t="str">
        <f aca="true" t="shared" si="21" ref="T226:T251">MID(L226,1,2)</f>
        <v>10</v>
      </c>
      <c r="U226" s="8"/>
      <c r="V226" s="8"/>
      <c r="W226" s="8"/>
      <c r="X226" s="8"/>
      <c r="Y226" s="8"/>
      <c r="Z226" s="8"/>
      <c r="AA226" s="8"/>
      <c r="AB226" s="8" t="e">
        <f>#REF!</f>
        <v>#REF!</v>
      </c>
      <c r="AC226" s="23" t="e">
        <f t="shared" si="20"/>
        <v>#REF!</v>
      </c>
    </row>
    <row r="227" spans="2:29" ht="12.75">
      <c r="B227" s="29" t="s">
        <v>173</v>
      </c>
      <c r="C227" s="47"/>
      <c r="D227" s="47"/>
      <c r="E227" s="47"/>
      <c r="F227" s="47"/>
      <c r="G227" s="47"/>
      <c r="H227" s="8"/>
      <c r="I227" s="23"/>
      <c r="L227" s="8"/>
      <c r="M227" s="8"/>
      <c r="N227" s="8"/>
      <c r="O227" s="8"/>
      <c r="P227" s="890"/>
      <c r="Q227" s="890"/>
      <c r="R227" s="8"/>
      <c r="S227" s="8"/>
      <c r="T227" s="8">
        <f t="shared" si="21"/>
      </c>
      <c r="U227" s="8"/>
      <c r="V227" s="8"/>
      <c r="W227" s="8"/>
      <c r="X227" s="8"/>
      <c r="Y227" s="8"/>
      <c r="Z227" s="8"/>
      <c r="AA227" s="8"/>
      <c r="AB227" s="8" t="e">
        <f>#REF!</f>
        <v>#REF!</v>
      </c>
      <c r="AC227" s="23" t="e">
        <f t="shared" si="20"/>
        <v>#REF!</v>
      </c>
    </row>
    <row r="228" spans="2:29" ht="12.75">
      <c r="B228" s="29" t="s">
        <v>170</v>
      </c>
      <c r="C228" s="47"/>
      <c r="D228" s="47"/>
      <c r="E228" s="47"/>
      <c r="F228" s="47"/>
      <c r="G228" s="47"/>
      <c r="H228" s="8"/>
      <c r="I228" s="23"/>
      <c r="L228" s="8"/>
      <c r="M228" s="8"/>
      <c r="N228" s="8"/>
      <c r="O228" s="8"/>
      <c r="P228" s="890"/>
      <c r="Q228" s="890"/>
      <c r="R228" s="8"/>
      <c r="S228" s="8"/>
      <c r="T228" s="8">
        <f t="shared" si="21"/>
      </c>
      <c r="U228" s="8"/>
      <c r="V228" s="8"/>
      <c r="W228" s="8"/>
      <c r="X228" s="8"/>
      <c r="Y228" s="8"/>
      <c r="Z228" s="8"/>
      <c r="AA228" s="8"/>
      <c r="AB228" s="8" t="e">
        <f>#REF!</f>
        <v>#REF!</v>
      </c>
      <c r="AC228" s="23" t="e">
        <f t="shared" si="20"/>
        <v>#REF!</v>
      </c>
    </row>
    <row r="229" spans="2:29" ht="12.75">
      <c r="B229" s="29" t="s">
        <v>169</v>
      </c>
      <c r="C229" s="47"/>
      <c r="D229" s="47"/>
      <c r="E229" s="47"/>
      <c r="F229" s="47"/>
      <c r="G229" s="47"/>
      <c r="H229" s="8"/>
      <c r="I229" s="23"/>
      <c r="L229" s="8"/>
      <c r="M229" s="8"/>
      <c r="N229" s="8"/>
      <c r="O229" s="8"/>
      <c r="P229" s="890"/>
      <c r="Q229" s="890"/>
      <c r="R229" s="8"/>
      <c r="S229" s="8"/>
      <c r="T229" s="8">
        <f t="shared" si="21"/>
      </c>
      <c r="U229" s="8"/>
      <c r="V229" s="8"/>
      <c r="W229" s="8"/>
      <c r="X229" s="8"/>
      <c r="Y229" s="8"/>
      <c r="Z229" s="8"/>
      <c r="AA229" s="8"/>
      <c r="AB229" s="8" t="e">
        <f>#REF!</f>
        <v>#REF!</v>
      </c>
      <c r="AC229" s="23" t="e">
        <f t="shared" si="20"/>
        <v>#REF!</v>
      </c>
    </row>
    <row r="230" spans="2:29" ht="12.75">
      <c r="B230" s="29" t="s">
        <v>171</v>
      </c>
      <c r="C230" s="47"/>
      <c r="D230" s="47"/>
      <c r="E230" s="47"/>
      <c r="F230" s="47"/>
      <c r="G230" s="47"/>
      <c r="H230" s="8"/>
      <c r="I230" s="23"/>
      <c r="L230" s="8"/>
      <c r="M230" s="8"/>
      <c r="N230" s="8"/>
      <c r="O230" s="8"/>
      <c r="P230" s="890"/>
      <c r="Q230" s="890"/>
      <c r="R230" s="8"/>
      <c r="S230" s="8"/>
      <c r="T230" s="8">
        <f t="shared" si="21"/>
      </c>
      <c r="U230" s="8"/>
      <c r="V230" s="8"/>
      <c r="W230" s="8"/>
      <c r="X230" s="8"/>
      <c r="Y230" s="8"/>
      <c r="Z230" s="8"/>
      <c r="AA230" s="8"/>
      <c r="AB230" s="8" t="e">
        <f>#REF!</f>
        <v>#REF!</v>
      </c>
      <c r="AC230" s="23" t="e">
        <f t="shared" si="20"/>
        <v>#REF!</v>
      </c>
    </row>
    <row r="231" spans="2:29" ht="12.75">
      <c r="B231" s="30" t="s">
        <v>172</v>
      </c>
      <c r="C231" s="365"/>
      <c r="D231" s="365"/>
      <c r="E231" s="365"/>
      <c r="F231" s="365"/>
      <c r="G231" s="365"/>
      <c r="H231" s="155"/>
      <c r="I231" s="31"/>
      <c r="L231" s="155"/>
      <c r="M231" s="8"/>
      <c r="N231" s="8"/>
      <c r="O231" s="8"/>
      <c r="P231" s="890"/>
      <c r="Q231" s="890"/>
      <c r="R231" s="8"/>
      <c r="S231" s="8"/>
      <c r="T231" s="8">
        <f t="shared" si="21"/>
      </c>
      <c r="U231" s="8"/>
      <c r="V231" s="8"/>
      <c r="W231" s="8"/>
      <c r="X231" s="8"/>
      <c r="Y231" s="8"/>
      <c r="Z231" s="8"/>
      <c r="AA231" s="8"/>
      <c r="AB231" s="8" t="e">
        <f>#REF!</f>
        <v>#REF!</v>
      </c>
      <c r="AC231" s="23" t="e">
        <f t="shared" si="20"/>
        <v>#REF!</v>
      </c>
    </row>
    <row r="232" spans="2:29" ht="12.75">
      <c r="B232" s="509" t="s">
        <v>601</v>
      </c>
      <c r="C232" s="786"/>
      <c r="D232" s="786"/>
      <c r="E232" s="786"/>
      <c r="F232" s="786"/>
      <c r="G232" s="786"/>
      <c r="H232" s="788"/>
      <c r="I232" s="789"/>
      <c r="L232" s="51"/>
      <c r="M232" s="8"/>
      <c r="N232" s="8"/>
      <c r="O232" s="8"/>
      <c r="P232" s="890"/>
      <c r="Q232" s="890"/>
      <c r="R232" s="8"/>
      <c r="S232" s="8"/>
      <c r="T232" s="8">
        <f t="shared" si="21"/>
      </c>
      <c r="U232" s="8"/>
      <c r="V232" s="8"/>
      <c r="W232" s="8"/>
      <c r="X232" s="8"/>
      <c r="Y232" s="8"/>
      <c r="Z232" s="8"/>
      <c r="AA232" s="8"/>
      <c r="AB232" s="8" t="e">
        <f>#REF!</f>
        <v>#REF!</v>
      </c>
      <c r="AC232" s="23" t="e">
        <f t="shared" si="20"/>
        <v>#REF!</v>
      </c>
    </row>
    <row r="233" spans="2:29" ht="12.75">
      <c r="B233" s="29" t="s">
        <v>166</v>
      </c>
      <c r="C233" s="47"/>
      <c r="D233" s="47"/>
      <c r="E233" s="47"/>
      <c r="F233" s="47"/>
      <c r="G233" s="47"/>
      <c r="H233" s="8"/>
      <c r="I233" s="23"/>
      <c r="L233" s="8"/>
      <c r="M233" s="8"/>
      <c r="N233" s="8"/>
      <c r="O233" s="8"/>
      <c r="P233" s="890"/>
      <c r="Q233" s="890"/>
      <c r="R233" s="8"/>
      <c r="S233" s="8"/>
      <c r="T233" s="8">
        <f t="shared" si="21"/>
      </c>
      <c r="U233" s="8"/>
      <c r="V233" s="8"/>
      <c r="W233" s="8"/>
      <c r="X233" s="8"/>
      <c r="Y233" s="8"/>
      <c r="Z233" s="8"/>
      <c r="AA233" s="8"/>
      <c r="AB233" s="8" t="e">
        <f>#REF!</f>
        <v>#REF!</v>
      </c>
      <c r="AC233" s="23" t="e">
        <f t="shared" si="20"/>
        <v>#REF!</v>
      </c>
    </row>
    <row r="234" spans="2:29" ht="12.75">
      <c r="B234" s="29" t="s">
        <v>452</v>
      </c>
      <c r="C234" s="47"/>
      <c r="D234" s="47"/>
      <c r="E234" s="47"/>
      <c r="F234" s="47"/>
      <c r="G234" s="47"/>
      <c r="H234" s="8"/>
      <c r="I234" s="23"/>
      <c r="L234" s="8"/>
      <c r="M234" s="8"/>
      <c r="N234" s="8"/>
      <c r="O234" s="8"/>
      <c r="P234" s="890"/>
      <c r="Q234" s="890"/>
      <c r="R234" s="8"/>
      <c r="S234" s="8"/>
      <c r="T234" s="8">
        <f t="shared" si="21"/>
      </c>
      <c r="U234" s="8"/>
      <c r="V234" s="8"/>
      <c r="W234" s="8"/>
      <c r="X234" s="8"/>
      <c r="Y234" s="8"/>
      <c r="Z234" s="8"/>
      <c r="AA234" s="8"/>
      <c r="AB234" s="8" t="e">
        <f>#REF!</f>
        <v>#REF!</v>
      </c>
      <c r="AC234" s="23" t="e">
        <f t="shared" si="20"/>
        <v>#REF!</v>
      </c>
    </row>
    <row r="235" spans="2:29" ht="12.75">
      <c r="B235" s="29" t="s">
        <v>599</v>
      </c>
      <c r="C235" s="47"/>
      <c r="D235" s="47"/>
      <c r="E235" s="47"/>
      <c r="F235" s="47"/>
      <c r="G235" s="47"/>
      <c r="H235" s="8"/>
      <c r="I235" s="23"/>
      <c r="L235" s="8"/>
      <c r="M235" s="8"/>
      <c r="N235" s="8"/>
      <c r="O235" s="8"/>
      <c r="P235" s="890"/>
      <c r="Q235" s="890"/>
      <c r="R235" s="8"/>
      <c r="S235" s="8"/>
      <c r="T235" s="8">
        <f t="shared" si="21"/>
      </c>
      <c r="U235" s="8"/>
      <c r="V235" s="8"/>
      <c r="W235" s="8"/>
      <c r="X235" s="8"/>
      <c r="Y235" s="8"/>
      <c r="Z235" s="8"/>
      <c r="AA235" s="8"/>
      <c r="AB235" s="8" t="e">
        <f>#REF!</f>
        <v>#REF!</v>
      </c>
      <c r="AC235" s="23" t="e">
        <f t="shared" si="20"/>
        <v>#REF!</v>
      </c>
    </row>
    <row r="236" spans="2:29" ht="12.75">
      <c r="B236" s="29" t="s">
        <v>169</v>
      </c>
      <c r="C236" s="47"/>
      <c r="D236" s="47"/>
      <c r="E236" s="47"/>
      <c r="F236" s="47"/>
      <c r="G236" s="47"/>
      <c r="H236" s="8"/>
      <c r="I236" s="23"/>
      <c r="L236" s="8"/>
      <c r="M236" s="8"/>
      <c r="N236" s="8"/>
      <c r="O236" s="8"/>
      <c r="P236" s="890"/>
      <c r="Q236" s="890"/>
      <c r="R236" s="8"/>
      <c r="S236" s="8"/>
      <c r="T236" s="8">
        <f t="shared" si="21"/>
      </c>
      <c r="U236" s="8"/>
      <c r="V236" s="8"/>
      <c r="W236" s="8"/>
      <c r="X236" s="8"/>
      <c r="Y236" s="8"/>
      <c r="Z236" s="8"/>
      <c r="AA236" s="8"/>
      <c r="AB236" s="8" t="e">
        <f>#REF!</f>
        <v>#REF!</v>
      </c>
      <c r="AC236" s="23" t="e">
        <f t="shared" si="20"/>
        <v>#REF!</v>
      </c>
    </row>
    <row r="237" spans="2:29" ht="12.75">
      <c r="B237" s="29" t="s">
        <v>173</v>
      </c>
      <c r="C237" s="47"/>
      <c r="D237" s="47"/>
      <c r="E237" s="47"/>
      <c r="F237" s="47"/>
      <c r="G237" s="47"/>
      <c r="H237" s="8"/>
      <c r="I237" s="23"/>
      <c r="L237" s="8"/>
      <c r="M237" s="8"/>
      <c r="N237" s="8"/>
      <c r="O237" s="8"/>
      <c r="P237" s="890"/>
      <c r="Q237" s="890"/>
      <c r="R237" s="8"/>
      <c r="S237" s="8"/>
      <c r="T237" s="8">
        <f t="shared" si="21"/>
      </c>
      <c r="U237" s="8"/>
      <c r="V237" s="8"/>
      <c r="W237" s="8"/>
      <c r="X237" s="8"/>
      <c r="Y237" s="8"/>
      <c r="Z237" s="8"/>
      <c r="AA237" s="8"/>
      <c r="AB237" s="8" t="e">
        <f>#REF!</f>
        <v>#REF!</v>
      </c>
      <c r="AC237" s="23" t="e">
        <f t="shared" si="20"/>
        <v>#REF!</v>
      </c>
    </row>
    <row r="238" spans="2:29" ht="12.75">
      <c r="B238" s="29" t="s">
        <v>597</v>
      </c>
      <c r="C238" s="47"/>
      <c r="D238" s="47"/>
      <c r="E238" s="47"/>
      <c r="F238" s="47"/>
      <c r="G238" s="47"/>
      <c r="H238" s="8"/>
      <c r="I238" s="23"/>
      <c r="L238" s="8"/>
      <c r="M238" s="8"/>
      <c r="N238" s="8"/>
      <c r="O238" s="8"/>
      <c r="P238" s="890"/>
      <c r="Q238" s="890"/>
      <c r="R238" s="8"/>
      <c r="S238" s="8"/>
      <c r="T238" s="8">
        <f t="shared" si="21"/>
      </c>
      <c r="U238" s="8"/>
      <c r="V238" s="8"/>
      <c r="W238" s="8"/>
      <c r="X238" s="8"/>
      <c r="Y238" s="8"/>
      <c r="Z238" s="8"/>
      <c r="AA238" s="8"/>
      <c r="AB238" s="8" t="e">
        <f>#REF!</f>
        <v>#REF!</v>
      </c>
      <c r="AC238" s="23" t="e">
        <f t="shared" si="20"/>
        <v>#REF!</v>
      </c>
    </row>
    <row r="239" spans="2:29" ht="12.75">
      <c r="B239" s="29" t="s">
        <v>598</v>
      </c>
      <c r="C239" s="47"/>
      <c r="D239" s="47"/>
      <c r="E239" s="47"/>
      <c r="F239" s="47"/>
      <c r="G239" s="47"/>
      <c r="H239" s="8"/>
      <c r="I239" s="23"/>
      <c r="L239" s="8"/>
      <c r="M239" s="8"/>
      <c r="N239" s="8"/>
      <c r="O239" s="8"/>
      <c r="P239" s="890"/>
      <c r="Q239" s="890"/>
      <c r="R239" s="8"/>
      <c r="S239" s="8"/>
      <c r="T239" s="8">
        <f t="shared" si="21"/>
      </c>
      <c r="U239" s="8"/>
      <c r="V239" s="8"/>
      <c r="W239" s="8"/>
      <c r="X239" s="8"/>
      <c r="Y239" s="8"/>
      <c r="Z239" s="8"/>
      <c r="AA239" s="8"/>
      <c r="AB239" s="8" t="e">
        <f>#REF!</f>
        <v>#REF!</v>
      </c>
      <c r="AC239" s="23" t="e">
        <f t="shared" si="20"/>
        <v>#REF!</v>
      </c>
    </row>
    <row r="240" spans="2:29" ht="12.75">
      <c r="B240" s="30" t="s">
        <v>167</v>
      </c>
      <c r="C240" s="365"/>
      <c r="D240" s="365"/>
      <c r="E240" s="365"/>
      <c r="F240" s="365"/>
      <c r="G240" s="365"/>
      <c r="H240" s="155"/>
      <c r="I240" s="31"/>
      <c r="L240" s="155"/>
      <c r="M240" s="8"/>
      <c r="N240" s="8"/>
      <c r="O240" s="8"/>
      <c r="P240" s="890"/>
      <c r="Q240" s="890"/>
      <c r="R240" s="8"/>
      <c r="S240" s="8"/>
      <c r="T240" s="8">
        <f t="shared" si="21"/>
      </c>
      <c r="U240" s="8"/>
      <c r="V240" s="8"/>
      <c r="W240" s="8"/>
      <c r="X240" s="8"/>
      <c r="Y240" s="8"/>
      <c r="Z240" s="8"/>
      <c r="AA240" s="8"/>
      <c r="AB240" s="8" t="e">
        <f>#REF!</f>
        <v>#REF!</v>
      </c>
      <c r="AC240" s="23" t="e">
        <f t="shared" si="20"/>
        <v>#REF!</v>
      </c>
    </row>
    <row r="241" spans="2:29" ht="12.75">
      <c r="B241" s="509" t="s">
        <v>605</v>
      </c>
      <c r="C241" s="786"/>
      <c r="D241" s="786"/>
      <c r="E241" s="786"/>
      <c r="F241" s="786"/>
      <c r="G241" s="786"/>
      <c r="H241" s="788"/>
      <c r="I241" s="789"/>
      <c r="L241" s="51"/>
      <c r="M241" s="8"/>
      <c r="N241" s="8"/>
      <c r="O241" s="8"/>
      <c r="P241" s="890"/>
      <c r="Q241" s="890"/>
      <c r="R241" s="8"/>
      <c r="S241" s="8"/>
      <c r="T241" s="8">
        <f t="shared" si="21"/>
      </c>
      <c r="U241" s="8"/>
      <c r="V241" s="8"/>
      <c r="W241" s="8"/>
      <c r="X241" s="8"/>
      <c r="Y241" s="8"/>
      <c r="Z241" s="8"/>
      <c r="AA241" s="8"/>
      <c r="AB241" s="8" t="e">
        <f>#REF!</f>
        <v>#REF!</v>
      </c>
      <c r="AC241" s="23" t="e">
        <f t="shared" si="20"/>
        <v>#REF!</v>
      </c>
    </row>
    <row r="242" spans="2:29" ht="12.75">
      <c r="B242" s="29" t="s">
        <v>606</v>
      </c>
      <c r="C242" s="47"/>
      <c r="D242" s="47"/>
      <c r="E242" s="47"/>
      <c r="F242" s="47"/>
      <c r="G242" s="47"/>
      <c r="H242" s="8"/>
      <c r="I242" s="23"/>
      <c r="L242" s="8"/>
      <c r="M242" s="8"/>
      <c r="N242" s="8"/>
      <c r="O242" s="8"/>
      <c r="P242" s="890"/>
      <c r="Q242" s="890"/>
      <c r="R242" s="8"/>
      <c r="S242" s="8"/>
      <c r="T242" s="8">
        <f t="shared" si="21"/>
      </c>
      <c r="U242" s="8"/>
      <c r="V242" s="8"/>
      <c r="W242" s="8"/>
      <c r="X242" s="8"/>
      <c r="Y242" s="8"/>
      <c r="Z242" s="8"/>
      <c r="AA242" s="8"/>
      <c r="AB242" s="8" t="e">
        <f>#REF!</f>
        <v>#REF!</v>
      </c>
      <c r="AC242" s="23" t="e">
        <f t="shared" si="20"/>
        <v>#REF!</v>
      </c>
    </row>
    <row r="243" spans="2:29" ht="12.75">
      <c r="B243" s="29" t="s">
        <v>607</v>
      </c>
      <c r="C243" s="47"/>
      <c r="D243" s="47"/>
      <c r="E243" s="47"/>
      <c r="F243" s="47"/>
      <c r="G243" s="47"/>
      <c r="H243" s="8"/>
      <c r="I243" s="23"/>
      <c r="L243" s="8"/>
      <c r="M243" s="8"/>
      <c r="N243" s="8"/>
      <c r="O243" s="8"/>
      <c r="P243" s="890"/>
      <c r="Q243" s="890"/>
      <c r="R243" s="8"/>
      <c r="S243" s="8"/>
      <c r="T243" s="8">
        <f t="shared" si="21"/>
      </c>
      <c r="U243" s="8"/>
      <c r="V243" s="8"/>
      <c r="W243" s="8"/>
      <c r="X243" s="8"/>
      <c r="Y243" s="8"/>
      <c r="Z243" s="8"/>
      <c r="AA243" s="8"/>
      <c r="AB243" s="8" t="e">
        <f>#REF!</f>
        <v>#REF!</v>
      </c>
      <c r="AC243" s="23" t="e">
        <f t="shared" si="20"/>
        <v>#REF!</v>
      </c>
    </row>
    <row r="244" spans="2:29" ht="12.75">
      <c r="B244" s="29" t="s">
        <v>630</v>
      </c>
      <c r="C244" s="47"/>
      <c r="D244" s="47"/>
      <c r="E244" s="47"/>
      <c r="F244" s="47"/>
      <c r="G244" s="47"/>
      <c r="H244" s="8"/>
      <c r="I244" s="23"/>
      <c r="L244" s="8"/>
      <c r="M244" s="8"/>
      <c r="N244" s="8"/>
      <c r="O244" s="8"/>
      <c r="P244" s="890"/>
      <c r="Q244" s="890"/>
      <c r="R244" s="8"/>
      <c r="S244" s="8"/>
      <c r="T244" s="8">
        <f t="shared" si="21"/>
      </c>
      <c r="U244" s="8"/>
      <c r="V244" s="8"/>
      <c r="W244" s="8"/>
      <c r="X244" s="8"/>
      <c r="Y244" s="8"/>
      <c r="Z244" s="8"/>
      <c r="AA244" s="8"/>
      <c r="AB244" s="8" t="e">
        <f>#REF!</f>
        <v>#REF!</v>
      </c>
      <c r="AC244" s="23" t="e">
        <f t="shared" si="20"/>
        <v>#REF!</v>
      </c>
    </row>
    <row r="245" spans="2:29" ht="12.75">
      <c r="B245" s="29" t="s">
        <v>602</v>
      </c>
      <c r="C245" s="47"/>
      <c r="D245" s="47"/>
      <c r="E245" s="47"/>
      <c r="F245" s="47"/>
      <c r="G245" s="47"/>
      <c r="H245" s="8"/>
      <c r="I245" s="23"/>
      <c r="L245" s="8"/>
      <c r="M245" s="8"/>
      <c r="N245" s="8"/>
      <c r="O245" s="8"/>
      <c r="P245" s="890"/>
      <c r="Q245" s="890"/>
      <c r="R245" s="8"/>
      <c r="S245" s="8"/>
      <c r="T245" s="8">
        <f t="shared" si="21"/>
      </c>
      <c r="U245" s="8"/>
      <c r="V245" s="8"/>
      <c r="W245" s="8"/>
      <c r="X245" s="8"/>
      <c r="Y245" s="8"/>
      <c r="Z245" s="8"/>
      <c r="AA245" s="8"/>
      <c r="AB245" s="8" t="e">
        <f>#REF!</f>
        <v>#REF!</v>
      </c>
      <c r="AC245" s="23" t="e">
        <f t="shared" si="20"/>
        <v>#REF!</v>
      </c>
    </row>
    <row r="246" spans="2:29" ht="12.75">
      <c r="B246" s="29" t="s">
        <v>610</v>
      </c>
      <c r="C246" s="47"/>
      <c r="D246" s="47"/>
      <c r="E246" s="47"/>
      <c r="F246" s="47"/>
      <c r="G246" s="47"/>
      <c r="H246" s="8"/>
      <c r="I246" s="23"/>
      <c r="L246" s="8"/>
      <c r="M246" s="8"/>
      <c r="N246" s="8"/>
      <c r="O246" s="8"/>
      <c r="P246" s="890"/>
      <c r="Q246" s="890"/>
      <c r="R246" s="8"/>
      <c r="S246" s="8"/>
      <c r="T246" s="8">
        <f t="shared" si="21"/>
      </c>
      <c r="U246" s="8"/>
      <c r="V246" s="8"/>
      <c r="W246" s="8"/>
      <c r="X246" s="8"/>
      <c r="Y246" s="8"/>
      <c r="Z246" s="8"/>
      <c r="AA246" s="8"/>
      <c r="AB246" s="8" t="e">
        <f>#REF!</f>
        <v>#REF!</v>
      </c>
      <c r="AC246" s="23" t="e">
        <f t="shared" si="20"/>
        <v>#REF!</v>
      </c>
    </row>
    <row r="247" spans="2:29" ht="12.75">
      <c r="B247" s="29" t="s">
        <v>611</v>
      </c>
      <c r="C247" s="47"/>
      <c r="D247" s="47"/>
      <c r="E247" s="47"/>
      <c r="F247" s="47"/>
      <c r="G247" s="47"/>
      <c r="H247" s="8"/>
      <c r="I247" s="23"/>
      <c r="L247" s="8"/>
      <c r="M247" s="8"/>
      <c r="N247" s="8"/>
      <c r="O247" s="8"/>
      <c r="P247" s="890"/>
      <c r="Q247" s="890"/>
      <c r="R247" s="8"/>
      <c r="S247" s="8"/>
      <c r="T247" s="8">
        <f t="shared" si="21"/>
      </c>
      <c r="U247" s="8"/>
      <c r="V247" s="8"/>
      <c r="W247" s="8"/>
      <c r="X247" s="8"/>
      <c r="Y247" s="8"/>
      <c r="Z247" s="8"/>
      <c r="AA247" s="8"/>
      <c r="AB247" s="8" t="e">
        <f>#REF!</f>
        <v>#REF!</v>
      </c>
      <c r="AC247" s="23" t="e">
        <f t="shared" si="20"/>
        <v>#REF!</v>
      </c>
    </row>
    <row r="248" spans="2:29" ht="12.75">
      <c r="B248" s="29" t="s">
        <v>603</v>
      </c>
      <c r="C248" s="47"/>
      <c r="D248" s="47"/>
      <c r="E248" s="47"/>
      <c r="F248" s="47"/>
      <c r="G248" s="47"/>
      <c r="H248" s="8"/>
      <c r="I248" s="23"/>
      <c r="L248" s="8"/>
      <c r="M248" s="8"/>
      <c r="N248" s="8"/>
      <c r="O248" s="8"/>
      <c r="P248" s="890"/>
      <c r="Q248" s="890"/>
      <c r="R248" s="8"/>
      <c r="S248" s="8"/>
      <c r="T248" s="8">
        <f t="shared" si="21"/>
      </c>
      <c r="U248" s="8"/>
      <c r="V248" s="8"/>
      <c r="W248" s="8"/>
      <c r="X248" s="8"/>
      <c r="Y248" s="8"/>
      <c r="Z248" s="8"/>
      <c r="AA248" s="8"/>
      <c r="AB248" s="8" t="e">
        <f>#REF!</f>
        <v>#REF!</v>
      </c>
      <c r="AC248" s="23" t="e">
        <f t="shared" si="20"/>
        <v>#REF!</v>
      </c>
    </row>
    <row r="249" spans="2:29" ht="12.75">
      <c r="B249" s="29" t="s">
        <v>604</v>
      </c>
      <c r="C249" s="47"/>
      <c r="D249" s="47"/>
      <c r="E249" s="47"/>
      <c r="F249" s="47"/>
      <c r="G249" s="47"/>
      <c r="H249" s="8"/>
      <c r="I249" s="23"/>
      <c r="L249" s="8"/>
      <c r="M249" s="8"/>
      <c r="N249" s="8"/>
      <c r="O249" s="8"/>
      <c r="P249" s="890"/>
      <c r="Q249" s="890"/>
      <c r="R249" s="8"/>
      <c r="S249" s="8"/>
      <c r="T249" s="8">
        <f t="shared" si="21"/>
      </c>
      <c r="U249" s="8"/>
      <c r="V249" s="8"/>
      <c r="W249" s="8"/>
      <c r="X249" s="8"/>
      <c r="Y249" s="8"/>
      <c r="Z249" s="8"/>
      <c r="AA249" s="8"/>
      <c r="AB249" s="8" t="e">
        <f>#REF!</f>
        <v>#REF!</v>
      </c>
      <c r="AC249" s="23" t="e">
        <f t="shared" si="20"/>
        <v>#REF!</v>
      </c>
    </row>
    <row r="250" spans="2:29" ht="12.75">
      <c r="B250" s="29" t="s">
        <v>608</v>
      </c>
      <c r="C250" s="47"/>
      <c r="D250" s="47"/>
      <c r="E250" s="47"/>
      <c r="F250" s="47"/>
      <c r="G250" s="47"/>
      <c r="H250" s="8"/>
      <c r="I250" s="23"/>
      <c r="L250" s="8"/>
      <c r="M250" s="8"/>
      <c r="N250" s="8"/>
      <c r="O250" s="8"/>
      <c r="P250" s="890"/>
      <c r="Q250" s="890"/>
      <c r="R250" s="8"/>
      <c r="S250" s="8"/>
      <c r="T250" s="8">
        <f t="shared" si="21"/>
      </c>
      <c r="U250" s="8"/>
      <c r="V250" s="8"/>
      <c r="W250" s="8"/>
      <c r="X250" s="8"/>
      <c r="Y250" s="8"/>
      <c r="Z250" s="8"/>
      <c r="AA250" s="8"/>
      <c r="AB250" s="8" t="e">
        <f>#REF!</f>
        <v>#REF!</v>
      </c>
      <c r="AC250" s="23" t="e">
        <f t="shared" si="20"/>
        <v>#REF!</v>
      </c>
    </row>
    <row r="251" spans="2:29" ht="12.75">
      <c r="B251" s="30" t="s">
        <v>609</v>
      </c>
      <c r="C251" s="365"/>
      <c r="D251" s="365"/>
      <c r="E251" s="365"/>
      <c r="F251" s="365"/>
      <c r="G251" s="365"/>
      <c r="H251" s="155"/>
      <c r="I251" s="31"/>
      <c r="L251" s="155"/>
      <c r="M251" s="8"/>
      <c r="N251" s="8"/>
      <c r="O251" s="8"/>
      <c r="P251" s="890"/>
      <c r="Q251" s="890"/>
      <c r="R251" s="8"/>
      <c r="S251" s="8"/>
      <c r="T251" s="8">
        <f t="shared" si="21"/>
      </c>
      <c r="U251" s="8"/>
      <c r="V251" s="8"/>
      <c r="W251" s="8"/>
      <c r="X251" s="8"/>
      <c r="Y251" s="8"/>
      <c r="Z251" s="8"/>
      <c r="AA251" s="8"/>
      <c r="AB251" s="8" t="e">
        <f>#REF!</f>
        <v>#REF!</v>
      </c>
      <c r="AC251" s="23" t="e">
        <f t="shared" si="20"/>
        <v>#REF!</v>
      </c>
    </row>
    <row r="252" spans="2:29" ht="12.75">
      <c r="B252" s="51"/>
      <c r="C252" s="47"/>
      <c r="D252" s="47"/>
      <c r="E252" s="47"/>
      <c r="F252" s="47"/>
      <c r="G252" s="47"/>
      <c r="H252" s="8"/>
      <c r="I252" s="23"/>
      <c r="L252" s="8"/>
      <c r="M252" s="8"/>
      <c r="N252" s="8"/>
      <c r="O252" s="8"/>
      <c r="P252" s="890"/>
      <c r="Q252" s="890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23"/>
    </row>
    <row r="253" spans="2:29" ht="12.75">
      <c r="B253" s="8"/>
      <c r="C253" s="47"/>
      <c r="D253" s="47"/>
      <c r="E253" s="47"/>
      <c r="F253" s="47"/>
      <c r="G253" s="47"/>
      <c r="H253" s="8"/>
      <c r="I253" s="23"/>
      <c r="L253" s="8"/>
      <c r="M253" s="8"/>
      <c r="N253" s="8"/>
      <c r="O253" s="8"/>
      <c r="P253" s="890"/>
      <c r="Q253" s="890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23"/>
    </row>
    <row r="254" spans="2:29" ht="12.75">
      <c r="B254" s="8"/>
      <c r="C254" s="47"/>
      <c r="D254" s="47"/>
      <c r="E254" s="47"/>
      <c r="F254" s="47"/>
      <c r="G254" s="47"/>
      <c r="H254" s="8"/>
      <c r="I254" s="23"/>
      <c r="L254" s="8"/>
      <c r="M254" s="8"/>
      <c r="N254" s="8"/>
      <c r="O254" s="8"/>
      <c r="P254" s="890"/>
      <c r="Q254" s="890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23"/>
    </row>
    <row r="255" spans="2:29" ht="12.75">
      <c r="B255" s="8"/>
      <c r="C255" s="47"/>
      <c r="D255" s="47"/>
      <c r="E255" s="47"/>
      <c r="F255" s="47"/>
      <c r="G255" s="47"/>
      <c r="H255" s="8"/>
      <c r="I255" s="23"/>
      <c r="L255" s="8"/>
      <c r="M255" s="8"/>
      <c r="N255" s="8"/>
      <c r="O255" s="8"/>
      <c r="P255" s="890"/>
      <c r="Q255" s="890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23"/>
    </row>
    <row r="256" spans="2:29" ht="12.75">
      <c r="B256" s="8"/>
      <c r="C256" s="47"/>
      <c r="D256" s="47"/>
      <c r="E256" s="47"/>
      <c r="F256" s="47"/>
      <c r="G256" s="47"/>
      <c r="H256" s="8"/>
      <c r="I256" s="23"/>
      <c r="L256" s="8"/>
      <c r="M256" s="8"/>
      <c r="N256" s="8"/>
      <c r="O256" s="8"/>
      <c r="P256" s="890"/>
      <c r="Q256" s="890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23"/>
    </row>
    <row r="257" spans="2:29" ht="12.75">
      <c r="B257" s="8"/>
      <c r="C257" s="47"/>
      <c r="D257" s="47"/>
      <c r="E257" s="47"/>
      <c r="F257" s="47"/>
      <c r="G257" s="47"/>
      <c r="H257" s="8"/>
      <c r="I257" s="23"/>
      <c r="L257" s="8"/>
      <c r="M257" s="8"/>
      <c r="N257" s="8"/>
      <c r="O257" s="8"/>
      <c r="P257" s="890"/>
      <c r="Q257" s="890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23"/>
    </row>
    <row r="258" spans="2:29" ht="12.75">
      <c r="B258" s="8"/>
      <c r="C258" s="47"/>
      <c r="D258" s="47"/>
      <c r="E258" s="47"/>
      <c r="F258" s="47"/>
      <c r="G258" s="47"/>
      <c r="H258" s="8"/>
      <c r="I258" s="23"/>
      <c r="L258" s="8"/>
      <c r="M258" s="8"/>
      <c r="N258" s="8"/>
      <c r="O258" s="8"/>
      <c r="P258" s="890"/>
      <c r="Q258" s="890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23"/>
    </row>
    <row r="259" spans="2:29" ht="12.75">
      <c r="B259" s="155"/>
      <c r="C259" s="47"/>
      <c r="D259" s="47"/>
      <c r="E259" s="47"/>
      <c r="F259" s="47"/>
      <c r="G259" s="47"/>
      <c r="H259" s="8"/>
      <c r="I259" s="23"/>
      <c r="L259" s="8"/>
      <c r="M259" s="8"/>
      <c r="N259" s="8"/>
      <c r="O259" s="8"/>
      <c r="P259" s="890"/>
      <c r="Q259" s="890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23"/>
    </row>
    <row r="260" spans="2:29" ht="12.75">
      <c r="B260" s="509" t="s">
        <v>174</v>
      </c>
      <c r="C260" s="786"/>
      <c r="D260" s="786"/>
      <c r="E260" s="786"/>
      <c r="F260" s="786"/>
      <c r="G260" s="786"/>
      <c r="H260" s="788"/>
      <c r="I260" s="789"/>
      <c r="J260" s="767" t="s">
        <v>648</v>
      </c>
      <c r="K260" s="767"/>
      <c r="L260" s="51"/>
      <c r="M260" s="51"/>
      <c r="N260" s="51"/>
      <c r="O260" s="51"/>
      <c r="P260" s="892"/>
      <c r="Q260" s="892"/>
      <c r="R260" s="51"/>
      <c r="S260" s="51"/>
      <c r="T260" s="51">
        <f aca="true" t="shared" si="22" ref="T260:T286">MID(L260,1,2)</f>
      </c>
      <c r="U260" s="51"/>
      <c r="V260" s="51"/>
      <c r="W260" s="51"/>
      <c r="X260" s="51"/>
      <c r="Y260" s="51"/>
      <c r="Z260" s="51"/>
      <c r="AA260" s="51"/>
      <c r="AB260" s="51" t="e">
        <f>#REF!</f>
        <v>#REF!</v>
      </c>
      <c r="AC260" s="22" t="e">
        <f aca="true" t="shared" si="23" ref="AC260:AC286">IF(OR(AB260=0,T260=""),"",T260*AB260)</f>
        <v>#REF!</v>
      </c>
    </row>
    <row r="261" spans="2:29" ht="12.75">
      <c r="B261" s="29" t="str">
        <f>Sal!A40</f>
        <v>France</v>
      </c>
      <c r="C261" s="47"/>
      <c r="D261" s="47"/>
      <c r="E261" s="47"/>
      <c r="F261" s="47"/>
      <c r="G261" s="47"/>
      <c r="H261" s="8"/>
      <c r="I261" s="23"/>
      <c r="L261" s="8"/>
      <c r="M261" s="8"/>
      <c r="N261" s="8"/>
      <c r="O261" s="8"/>
      <c r="P261" s="890"/>
      <c r="Q261" s="890"/>
      <c r="R261" s="8"/>
      <c r="S261" s="8"/>
      <c r="T261" s="8">
        <f t="shared" si="22"/>
      </c>
      <c r="U261" s="8"/>
      <c r="V261" s="8"/>
      <c r="W261" s="8"/>
      <c r="X261" s="8"/>
      <c r="Y261" s="8"/>
      <c r="Z261" s="8"/>
      <c r="AA261" s="8"/>
      <c r="AB261" s="8" t="e">
        <f>#REF!</f>
        <v>#REF!</v>
      </c>
      <c r="AC261" s="23" t="e">
        <f t="shared" si="23"/>
        <v>#REF!</v>
      </c>
    </row>
    <row r="262" spans="2:29" ht="12.75">
      <c r="B262" s="29" t="str">
        <f>Sal!A41</f>
        <v>pays </v>
      </c>
      <c r="C262" s="47"/>
      <c r="D262" s="47"/>
      <c r="E262" s="47"/>
      <c r="F262" s="47"/>
      <c r="G262" s="47"/>
      <c r="H262" s="8"/>
      <c r="I262" s="23"/>
      <c r="L262" s="8"/>
      <c r="M262" s="8"/>
      <c r="N262" s="8"/>
      <c r="O262" s="8"/>
      <c r="P262" s="890"/>
      <c r="Q262" s="890"/>
      <c r="R262" s="8"/>
      <c r="S262" s="8"/>
      <c r="T262" s="8">
        <f t="shared" si="22"/>
      </c>
      <c r="U262" s="8"/>
      <c r="V262" s="8"/>
      <c r="W262" s="8"/>
      <c r="X262" s="8"/>
      <c r="Y262" s="8"/>
      <c r="Z262" s="8"/>
      <c r="AA262" s="8"/>
      <c r="AB262" s="8" t="e">
        <f>#REF!</f>
        <v>#REF!</v>
      </c>
      <c r="AC262" s="23" t="e">
        <f t="shared" si="23"/>
        <v>#REF!</v>
      </c>
    </row>
    <row r="263" spans="2:29" ht="12.75">
      <c r="B263" s="29" t="str">
        <f>Sal!A42</f>
        <v>pays </v>
      </c>
      <c r="C263" s="47"/>
      <c r="D263" s="47"/>
      <c r="E263" s="47"/>
      <c r="F263" s="47"/>
      <c r="G263" s="47"/>
      <c r="H263" s="8"/>
      <c r="I263" s="23"/>
      <c r="L263" s="8"/>
      <c r="M263" s="8"/>
      <c r="N263" s="8"/>
      <c r="O263" s="8"/>
      <c r="P263" s="890"/>
      <c r="Q263" s="890"/>
      <c r="R263" s="8"/>
      <c r="S263" s="8"/>
      <c r="T263" s="8">
        <f t="shared" si="22"/>
      </c>
      <c r="U263" s="8"/>
      <c r="V263" s="8"/>
      <c r="W263" s="8"/>
      <c r="X263" s="8"/>
      <c r="Y263" s="8"/>
      <c r="Z263" s="8"/>
      <c r="AA263" s="8"/>
      <c r="AB263" s="8" t="e">
        <f>#REF!</f>
        <v>#REF!</v>
      </c>
      <c r="AC263" s="23" t="e">
        <f t="shared" si="23"/>
        <v>#REF!</v>
      </c>
    </row>
    <row r="264" spans="2:29" ht="12.75">
      <c r="B264" s="29" t="str">
        <f>Sal!A43</f>
        <v>pays </v>
      </c>
      <c r="C264" s="47"/>
      <c r="D264" s="47"/>
      <c r="E264" s="47"/>
      <c r="F264" s="47"/>
      <c r="G264" s="47"/>
      <c r="H264" s="8"/>
      <c r="I264" s="23"/>
      <c r="L264" s="8"/>
      <c r="M264" s="8"/>
      <c r="N264" s="8"/>
      <c r="O264" s="8"/>
      <c r="P264" s="890"/>
      <c r="Q264" s="890"/>
      <c r="R264" s="8"/>
      <c r="S264" s="8"/>
      <c r="T264" s="8">
        <f t="shared" si="22"/>
      </c>
      <c r="U264" s="8"/>
      <c r="V264" s="8"/>
      <c r="W264" s="8"/>
      <c r="X264" s="8"/>
      <c r="Y264" s="8"/>
      <c r="Z264" s="8"/>
      <c r="AA264" s="8"/>
      <c r="AB264" s="8" t="e">
        <f>#REF!</f>
        <v>#REF!</v>
      </c>
      <c r="AC264" s="23" t="e">
        <f t="shared" si="23"/>
        <v>#REF!</v>
      </c>
    </row>
    <row r="265" spans="2:29" ht="12.75">
      <c r="B265" s="29" t="str">
        <f>Sal!A44</f>
        <v>pays </v>
      </c>
      <c r="C265" s="47"/>
      <c r="D265" s="47"/>
      <c r="E265" s="47"/>
      <c r="F265" s="47"/>
      <c r="G265" s="47"/>
      <c r="H265" s="8"/>
      <c r="I265" s="23"/>
      <c r="L265" s="8"/>
      <c r="M265" s="8"/>
      <c r="N265" s="8"/>
      <c r="O265" s="8"/>
      <c r="P265" s="890"/>
      <c r="Q265" s="890"/>
      <c r="R265" s="8"/>
      <c r="S265" s="8"/>
      <c r="T265" s="8">
        <f t="shared" si="22"/>
      </c>
      <c r="U265" s="8"/>
      <c r="V265" s="8"/>
      <c r="W265" s="8"/>
      <c r="X265" s="8"/>
      <c r="Y265" s="8"/>
      <c r="Z265" s="8"/>
      <c r="AA265" s="8"/>
      <c r="AB265" s="8" t="e">
        <f>#REF!</f>
        <v>#REF!</v>
      </c>
      <c r="AC265" s="23" t="e">
        <f t="shared" si="23"/>
        <v>#REF!</v>
      </c>
    </row>
    <row r="266" spans="2:29" ht="12.75">
      <c r="B266" s="29" t="str">
        <f>Sal!A45</f>
        <v>pays </v>
      </c>
      <c r="C266" s="47"/>
      <c r="D266" s="47"/>
      <c r="E266" s="47"/>
      <c r="F266" s="47"/>
      <c r="G266" s="47"/>
      <c r="H266" s="8"/>
      <c r="I266" s="23"/>
      <c r="L266" s="8"/>
      <c r="M266" s="8"/>
      <c r="N266" s="8"/>
      <c r="O266" s="8"/>
      <c r="P266" s="890"/>
      <c r="Q266" s="890"/>
      <c r="R266" s="8"/>
      <c r="S266" s="8"/>
      <c r="T266" s="8">
        <f t="shared" si="22"/>
      </c>
      <c r="U266" s="8"/>
      <c r="V266" s="8"/>
      <c r="W266" s="8"/>
      <c r="X266" s="8"/>
      <c r="Y266" s="8"/>
      <c r="Z266" s="8"/>
      <c r="AA266" s="8"/>
      <c r="AB266" s="8" t="e">
        <f>#REF!</f>
        <v>#REF!</v>
      </c>
      <c r="AC266" s="23" t="e">
        <f t="shared" si="23"/>
        <v>#REF!</v>
      </c>
    </row>
    <row r="267" spans="2:29" ht="12.75">
      <c r="B267" s="29" t="str">
        <f>Sal!A46</f>
        <v>pays </v>
      </c>
      <c r="C267" s="47"/>
      <c r="D267" s="47"/>
      <c r="E267" s="47"/>
      <c r="F267" s="47"/>
      <c r="G267" s="47"/>
      <c r="H267" s="8"/>
      <c r="I267" s="23"/>
      <c r="L267" s="8"/>
      <c r="M267" s="8"/>
      <c r="N267" s="8"/>
      <c r="O267" s="8"/>
      <c r="P267" s="890"/>
      <c r="Q267" s="890"/>
      <c r="R267" s="8"/>
      <c r="S267" s="8"/>
      <c r="T267" s="8">
        <f t="shared" si="22"/>
      </c>
      <c r="U267" s="8"/>
      <c r="V267" s="8"/>
      <c r="W267" s="8"/>
      <c r="X267" s="8"/>
      <c r="Y267" s="8"/>
      <c r="Z267" s="8"/>
      <c r="AA267" s="8"/>
      <c r="AB267" s="8" t="e">
        <f>#REF!</f>
        <v>#REF!</v>
      </c>
      <c r="AC267" s="23" t="e">
        <f t="shared" si="23"/>
        <v>#REF!</v>
      </c>
    </row>
    <row r="268" spans="2:29" ht="12.75">
      <c r="B268" s="29" t="str">
        <f>Sal!A47</f>
        <v>pays </v>
      </c>
      <c r="C268" s="47"/>
      <c r="D268" s="47"/>
      <c r="E268" s="47"/>
      <c r="F268" s="47"/>
      <c r="G268" s="47"/>
      <c r="H268" s="8"/>
      <c r="I268" s="23"/>
      <c r="L268" s="8"/>
      <c r="M268" s="8"/>
      <c r="N268" s="8"/>
      <c r="O268" s="8"/>
      <c r="P268" s="890"/>
      <c r="Q268" s="890"/>
      <c r="R268" s="8"/>
      <c r="S268" s="8"/>
      <c r="T268" s="8">
        <f t="shared" si="22"/>
      </c>
      <c r="U268" s="8"/>
      <c r="V268" s="8"/>
      <c r="W268" s="8"/>
      <c r="X268" s="8"/>
      <c r="Y268" s="8"/>
      <c r="Z268" s="8"/>
      <c r="AA268" s="8"/>
      <c r="AB268" s="8" t="e">
        <f>#REF!</f>
        <v>#REF!</v>
      </c>
      <c r="AC268" s="23" t="e">
        <f t="shared" si="23"/>
        <v>#REF!</v>
      </c>
    </row>
    <row r="269" spans="2:29" ht="12.75">
      <c r="B269" s="29" t="str">
        <f>Sal!A48</f>
        <v>pays </v>
      </c>
      <c r="C269" s="47"/>
      <c r="D269" s="47"/>
      <c r="E269" s="47"/>
      <c r="F269" s="47"/>
      <c r="G269" s="47"/>
      <c r="H269" s="8"/>
      <c r="I269" s="23"/>
      <c r="L269" s="8"/>
      <c r="M269" s="8"/>
      <c r="N269" s="8"/>
      <c r="O269" s="8"/>
      <c r="P269" s="890"/>
      <c r="Q269" s="890"/>
      <c r="R269" s="8"/>
      <c r="S269" s="8"/>
      <c r="T269" s="8">
        <f t="shared" si="22"/>
      </c>
      <c r="U269" s="8"/>
      <c r="V269" s="8"/>
      <c r="W269" s="8"/>
      <c r="X269" s="8"/>
      <c r="Y269" s="8"/>
      <c r="Z269" s="8"/>
      <c r="AA269" s="8"/>
      <c r="AB269" s="8" t="e">
        <f>#REF!</f>
        <v>#REF!</v>
      </c>
      <c r="AC269" s="23" t="e">
        <f t="shared" si="23"/>
        <v>#REF!</v>
      </c>
    </row>
    <row r="270" spans="2:29" ht="12.75">
      <c r="B270" s="29" t="str">
        <f>Sal!A49</f>
        <v>pays </v>
      </c>
      <c r="C270" s="47"/>
      <c r="D270" s="47"/>
      <c r="E270" s="47"/>
      <c r="F270" s="47"/>
      <c r="G270" s="47"/>
      <c r="H270" s="8"/>
      <c r="I270" s="23"/>
      <c r="L270" s="8"/>
      <c r="M270" s="8"/>
      <c r="N270" s="8"/>
      <c r="O270" s="8"/>
      <c r="P270" s="890"/>
      <c r="Q270" s="890"/>
      <c r="R270" s="8"/>
      <c r="S270" s="8"/>
      <c r="T270" s="8">
        <f t="shared" si="22"/>
      </c>
      <c r="U270" s="8"/>
      <c r="V270" s="8"/>
      <c r="W270" s="8"/>
      <c r="X270" s="8"/>
      <c r="Y270" s="8"/>
      <c r="Z270" s="8"/>
      <c r="AA270" s="8"/>
      <c r="AB270" s="8" t="e">
        <f>#REF!</f>
        <v>#REF!</v>
      </c>
      <c r="AC270" s="23" t="e">
        <f t="shared" si="23"/>
        <v>#REF!</v>
      </c>
    </row>
    <row r="271" spans="2:29" ht="12.75">
      <c r="B271" s="29" t="str">
        <f>Sal!A50</f>
        <v>pays </v>
      </c>
      <c r="C271" s="47"/>
      <c r="D271" s="47"/>
      <c r="E271" s="47"/>
      <c r="F271" s="47"/>
      <c r="G271" s="47"/>
      <c r="H271" s="8"/>
      <c r="I271" s="23"/>
      <c r="L271" s="8"/>
      <c r="M271" s="8"/>
      <c r="N271" s="8"/>
      <c r="O271" s="8"/>
      <c r="P271" s="890"/>
      <c r="Q271" s="890"/>
      <c r="R271" s="8"/>
      <c r="S271" s="8"/>
      <c r="T271" s="8">
        <f t="shared" si="22"/>
      </c>
      <c r="U271" s="8"/>
      <c r="V271" s="8"/>
      <c r="W271" s="8"/>
      <c r="X271" s="8"/>
      <c r="Y271" s="8"/>
      <c r="Z271" s="8"/>
      <c r="AA271" s="8"/>
      <c r="AB271" s="8" t="e">
        <f>#REF!</f>
        <v>#REF!</v>
      </c>
      <c r="AC271" s="23" t="e">
        <f t="shared" si="23"/>
        <v>#REF!</v>
      </c>
    </row>
    <row r="272" spans="2:29" ht="12.75">
      <c r="B272" s="29" t="str">
        <f>Sal!A51</f>
        <v>pays </v>
      </c>
      <c r="C272" s="47"/>
      <c r="D272" s="47"/>
      <c r="E272" s="47"/>
      <c r="F272" s="47"/>
      <c r="G272" s="47"/>
      <c r="H272" s="8"/>
      <c r="I272" s="23"/>
      <c r="L272" s="8"/>
      <c r="M272" s="8"/>
      <c r="N272" s="8"/>
      <c r="O272" s="8"/>
      <c r="P272" s="890"/>
      <c r="Q272" s="890"/>
      <c r="R272" s="8"/>
      <c r="S272" s="8"/>
      <c r="T272" s="8">
        <f t="shared" si="22"/>
      </c>
      <c r="U272" s="8"/>
      <c r="V272" s="8"/>
      <c r="W272" s="8"/>
      <c r="X272" s="8"/>
      <c r="Y272" s="8"/>
      <c r="Z272" s="8"/>
      <c r="AA272" s="8"/>
      <c r="AB272" s="8" t="e">
        <f>#REF!</f>
        <v>#REF!</v>
      </c>
      <c r="AC272" s="23" t="e">
        <f t="shared" si="23"/>
        <v>#REF!</v>
      </c>
    </row>
    <row r="273" spans="2:29" ht="12.75">
      <c r="B273" s="29" t="str">
        <f>Sal!A52</f>
        <v>pays </v>
      </c>
      <c r="C273" s="47"/>
      <c r="D273" s="47"/>
      <c r="E273" s="47"/>
      <c r="F273" s="47"/>
      <c r="G273" s="47"/>
      <c r="H273" s="8"/>
      <c r="I273" s="23"/>
      <c r="L273" s="8"/>
      <c r="M273" s="8"/>
      <c r="N273" s="8"/>
      <c r="O273" s="8"/>
      <c r="P273" s="890"/>
      <c r="Q273" s="890"/>
      <c r="R273" s="8"/>
      <c r="S273" s="8"/>
      <c r="T273" s="8">
        <f t="shared" si="22"/>
      </c>
      <c r="U273" s="8"/>
      <c r="V273" s="8"/>
      <c r="W273" s="8"/>
      <c r="X273" s="8"/>
      <c r="Y273" s="8"/>
      <c r="Z273" s="8"/>
      <c r="AA273" s="8"/>
      <c r="AB273" s="8" t="e">
        <f>#REF!</f>
        <v>#REF!</v>
      </c>
      <c r="AC273" s="23" t="e">
        <f t="shared" si="23"/>
        <v>#REF!</v>
      </c>
    </row>
    <row r="274" spans="2:29" ht="12.75">
      <c r="B274" s="29" t="str">
        <f>Sal!A53</f>
        <v>pays </v>
      </c>
      <c r="C274" s="47"/>
      <c r="D274" s="47"/>
      <c r="E274" s="47"/>
      <c r="F274" s="47"/>
      <c r="G274" s="47"/>
      <c r="H274" s="8"/>
      <c r="I274" s="23"/>
      <c r="L274" s="8"/>
      <c r="M274" s="8"/>
      <c r="N274" s="8"/>
      <c r="O274" s="8"/>
      <c r="P274" s="890"/>
      <c r="Q274" s="890"/>
      <c r="R274" s="8"/>
      <c r="S274" s="8"/>
      <c r="T274" s="8">
        <f t="shared" si="22"/>
      </c>
      <c r="U274" s="8"/>
      <c r="V274" s="8"/>
      <c r="W274" s="8"/>
      <c r="X274" s="8"/>
      <c r="Y274" s="8"/>
      <c r="Z274" s="8"/>
      <c r="AA274" s="8"/>
      <c r="AB274" s="8" t="e">
        <f>#REF!</f>
        <v>#REF!</v>
      </c>
      <c r="AC274" s="23" t="e">
        <f t="shared" si="23"/>
        <v>#REF!</v>
      </c>
    </row>
    <row r="275" spans="2:29" ht="12.75">
      <c r="B275" s="29" t="str">
        <f>Sal!A54</f>
        <v>pays </v>
      </c>
      <c r="C275" s="47"/>
      <c r="D275" s="47"/>
      <c r="E275" s="47"/>
      <c r="F275" s="47"/>
      <c r="G275" s="47"/>
      <c r="H275" s="8"/>
      <c r="I275" s="23"/>
      <c r="L275" s="8"/>
      <c r="M275" s="8"/>
      <c r="N275" s="8"/>
      <c r="O275" s="8"/>
      <c r="P275" s="890"/>
      <c r="Q275" s="890"/>
      <c r="R275" s="8"/>
      <c r="S275" s="8"/>
      <c r="T275" s="8">
        <f t="shared" si="22"/>
      </c>
      <c r="U275" s="8"/>
      <c r="V275" s="8"/>
      <c r="W275" s="8"/>
      <c r="X275" s="8"/>
      <c r="Y275" s="8"/>
      <c r="Z275" s="8"/>
      <c r="AA275" s="8"/>
      <c r="AB275" s="8" t="e">
        <f>#REF!</f>
        <v>#REF!</v>
      </c>
      <c r="AC275" s="23" t="e">
        <f t="shared" si="23"/>
        <v>#REF!</v>
      </c>
    </row>
    <row r="276" spans="2:29" ht="12.75">
      <c r="B276" s="29" t="str">
        <f>Sal!A55</f>
        <v>pays </v>
      </c>
      <c r="C276" s="47"/>
      <c r="D276" s="47"/>
      <c r="E276" s="47"/>
      <c r="F276" s="47"/>
      <c r="G276" s="47"/>
      <c r="H276" s="8"/>
      <c r="I276" s="23"/>
      <c r="L276" s="8"/>
      <c r="M276" s="8"/>
      <c r="N276" s="8"/>
      <c r="O276" s="8"/>
      <c r="P276" s="890"/>
      <c r="Q276" s="890"/>
      <c r="R276" s="8"/>
      <c r="S276" s="8"/>
      <c r="T276" s="8">
        <f t="shared" si="22"/>
      </c>
      <c r="U276" s="8"/>
      <c r="V276" s="8"/>
      <c r="W276" s="8"/>
      <c r="X276" s="8"/>
      <c r="Y276" s="8"/>
      <c r="Z276" s="8"/>
      <c r="AA276" s="8"/>
      <c r="AB276" s="8" t="e">
        <f>#REF!</f>
        <v>#REF!</v>
      </c>
      <c r="AC276" s="23" t="e">
        <f t="shared" si="23"/>
        <v>#REF!</v>
      </c>
    </row>
    <row r="277" spans="2:29" ht="12.75">
      <c r="B277" s="29" t="str">
        <f>Sal!A56</f>
        <v>pays </v>
      </c>
      <c r="C277" s="47"/>
      <c r="D277" s="47"/>
      <c r="E277" s="47"/>
      <c r="F277" s="47"/>
      <c r="G277" s="47"/>
      <c r="H277" s="8"/>
      <c r="I277" s="23"/>
      <c r="L277" s="8"/>
      <c r="M277" s="8"/>
      <c r="N277" s="8"/>
      <c r="O277" s="8"/>
      <c r="P277" s="890"/>
      <c r="Q277" s="890"/>
      <c r="R277" s="8"/>
      <c r="S277" s="8"/>
      <c r="T277" s="8">
        <f t="shared" si="22"/>
      </c>
      <c r="U277" s="8"/>
      <c r="V277" s="8"/>
      <c r="W277" s="8"/>
      <c r="X277" s="8"/>
      <c r="Y277" s="8"/>
      <c r="Z277" s="8"/>
      <c r="AA277" s="8"/>
      <c r="AB277" s="8" t="e">
        <f>#REF!</f>
        <v>#REF!</v>
      </c>
      <c r="AC277" s="23" t="e">
        <f t="shared" si="23"/>
        <v>#REF!</v>
      </c>
    </row>
    <row r="278" spans="2:29" ht="12.75">
      <c r="B278" s="29" t="str">
        <f>Sal!A57</f>
        <v>pays </v>
      </c>
      <c r="C278" s="47"/>
      <c r="D278" s="47"/>
      <c r="E278" s="47"/>
      <c r="F278" s="47"/>
      <c r="G278" s="47"/>
      <c r="H278" s="8"/>
      <c r="I278" s="23"/>
      <c r="L278" s="8"/>
      <c r="M278" s="8"/>
      <c r="N278" s="8"/>
      <c r="O278" s="8"/>
      <c r="P278" s="890"/>
      <c r="Q278" s="890"/>
      <c r="R278" s="8"/>
      <c r="S278" s="8"/>
      <c r="T278" s="8">
        <f t="shared" si="22"/>
      </c>
      <c r="U278" s="8"/>
      <c r="V278" s="8"/>
      <c r="W278" s="8"/>
      <c r="X278" s="8"/>
      <c r="Y278" s="8"/>
      <c r="Z278" s="8"/>
      <c r="AA278" s="8"/>
      <c r="AB278" s="8" t="e">
        <f>#REF!</f>
        <v>#REF!</v>
      </c>
      <c r="AC278" s="23" t="e">
        <f t="shared" si="23"/>
        <v>#REF!</v>
      </c>
    </row>
    <row r="279" spans="2:29" ht="12.75">
      <c r="B279" s="29" t="str">
        <f>Sal!A58</f>
        <v>pays </v>
      </c>
      <c r="C279" s="47"/>
      <c r="D279" s="47"/>
      <c r="E279" s="47"/>
      <c r="F279" s="47"/>
      <c r="G279" s="47"/>
      <c r="H279" s="8"/>
      <c r="I279" s="23"/>
      <c r="L279" s="8"/>
      <c r="M279" s="8"/>
      <c r="N279" s="8"/>
      <c r="O279" s="8"/>
      <c r="P279" s="890"/>
      <c r="Q279" s="890"/>
      <c r="R279" s="8"/>
      <c r="S279" s="8"/>
      <c r="T279" s="8">
        <f t="shared" si="22"/>
      </c>
      <c r="U279" s="8"/>
      <c r="V279" s="8"/>
      <c r="W279" s="8"/>
      <c r="X279" s="8"/>
      <c r="Y279" s="8"/>
      <c r="Z279" s="8"/>
      <c r="AA279" s="8"/>
      <c r="AB279" s="8" t="e">
        <f>#REF!</f>
        <v>#REF!</v>
      </c>
      <c r="AC279" s="23" t="e">
        <f t="shared" si="23"/>
        <v>#REF!</v>
      </c>
    </row>
    <row r="280" spans="2:29" ht="12.75">
      <c r="B280" s="29" t="str">
        <f>Sal!A59</f>
        <v>pays </v>
      </c>
      <c r="C280" s="47"/>
      <c r="D280" s="47"/>
      <c r="E280" s="47"/>
      <c r="F280" s="47"/>
      <c r="G280" s="47"/>
      <c r="H280" s="8"/>
      <c r="I280" s="23"/>
      <c r="L280" s="8"/>
      <c r="M280" s="8"/>
      <c r="N280" s="8"/>
      <c r="O280" s="8"/>
      <c r="P280" s="890"/>
      <c r="Q280" s="890"/>
      <c r="R280" s="8"/>
      <c r="S280" s="8"/>
      <c r="T280" s="8">
        <f t="shared" si="22"/>
      </c>
      <c r="U280" s="8"/>
      <c r="V280" s="8"/>
      <c r="W280" s="8"/>
      <c r="X280" s="8"/>
      <c r="Y280" s="8"/>
      <c r="Z280" s="8"/>
      <c r="AA280" s="8"/>
      <c r="AB280" s="8" t="e">
        <f>#REF!</f>
        <v>#REF!</v>
      </c>
      <c r="AC280" s="23" t="e">
        <f t="shared" si="23"/>
        <v>#REF!</v>
      </c>
    </row>
    <row r="281" spans="2:29" ht="12.75">
      <c r="B281" s="29" t="str">
        <f>Sal!A60</f>
        <v>pays </v>
      </c>
      <c r="C281" s="47"/>
      <c r="D281" s="47"/>
      <c r="E281" s="47"/>
      <c r="F281" s="47"/>
      <c r="G281" s="47"/>
      <c r="H281" s="8"/>
      <c r="I281" s="23"/>
      <c r="L281" s="8"/>
      <c r="M281" s="8"/>
      <c r="N281" s="8"/>
      <c r="O281" s="8"/>
      <c r="P281" s="890"/>
      <c r="Q281" s="890"/>
      <c r="R281" s="8"/>
      <c r="S281" s="8"/>
      <c r="T281" s="8">
        <f t="shared" si="22"/>
      </c>
      <c r="U281" s="8"/>
      <c r="V281" s="8"/>
      <c r="W281" s="8"/>
      <c r="X281" s="8"/>
      <c r="Y281" s="8"/>
      <c r="Z281" s="8"/>
      <c r="AA281" s="8"/>
      <c r="AB281" s="8" t="e">
        <f>#REF!</f>
        <v>#REF!</v>
      </c>
      <c r="AC281" s="23" t="e">
        <f t="shared" si="23"/>
        <v>#REF!</v>
      </c>
    </row>
    <row r="282" spans="2:29" ht="12.75">
      <c r="B282" s="29" t="str">
        <f>Sal!A61</f>
        <v>pays </v>
      </c>
      <c r="C282" s="47"/>
      <c r="D282" s="47"/>
      <c r="E282" s="47"/>
      <c r="F282" s="47"/>
      <c r="G282" s="47"/>
      <c r="H282" s="8"/>
      <c r="I282" s="23"/>
      <c r="L282" s="8"/>
      <c r="M282" s="8"/>
      <c r="N282" s="8"/>
      <c r="O282" s="8"/>
      <c r="P282" s="890"/>
      <c r="Q282" s="890"/>
      <c r="R282" s="8"/>
      <c r="S282" s="8"/>
      <c r="T282" s="8">
        <f t="shared" si="22"/>
      </c>
      <c r="U282" s="8"/>
      <c r="V282" s="8"/>
      <c r="W282" s="8"/>
      <c r="X282" s="8"/>
      <c r="Y282" s="8"/>
      <c r="Z282" s="8"/>
      <c r="AA282" s="8"/>
      <c r="AB282" s="8" t="e">
        <f>#REF!</f>
        <v>#REF!</v>
      </c>
      <c r="AC282" s="23" t="e">
        <f t="shared" si="23"/>
        <v>#REF!</v>
      </c>
    </row>
    <row r="283" spans="2:29" ht="12.75">
      <c r="B283" s="29"/>
      <c r="C283" s="47"/>
      <c r="D283" s="47"/>
      <c r="E283" s="47"/>
      <c r="F283" s="47"/>
      <c r="G283" s="47"/>
      <c r="H283" s="8"/>
      <c r="I283" s="23"/>
      <c r="L283" s="8"/>
      <c r="M283" s="8"/>
      <c r="N283" s="8"/>
      <c r="O283" s="8"/>
      <c r="P283" s="890"/>
      <c r="Q283" s="890"/>
      <c r="R283" s="8"/>
      <c r="S283" s="8"/>
      <c r="T283" s="8">
        <f t="shared" si="22"/>
      </c>
      <c r="U283" s="8"/>
      <c r="V283" s="8"/>
      <c r="W283" s="8"/>
      <c r="X283" s="8"/>
      <c r="Y283" s="8"/>
      <c r="Z283" s="8"/>
      <c r="AA283" s="8"/>
      <c r="AB283" s="8" t="e">
        <f>#REF!</f>
        <v>#REF!</v>
      </c>
      <c r="AC283" s="23" t="e">
        <f t="shared" si="23"/>
        <v>#REF!</v>
      </c>
    </row>
    <row r="284" spans="2:29" ht="12.75">
      <c r="B284" s="29" t="str">
        <f>Sal!A63</f>
        <v>Total</v>
      </c>
      <c r="C284" s="47"/>
      <c r="D284" s="47"/>
      <c r="E284" s="47"/>
      <c r="F284" s="47"/>
      <c r="G284" s="47"/>
      <c r="H284" s="8"/>
      <c r="I284" s="23"/>
      <c r="L284" s="8"/>
      <c r="M284" s="8"/>
      <c r="N284" s="8"/>
      <c r="O284" s="8"/>
      <c r="P284" s="890"/>
      <c r="Q284" s="890"/>
      <c r="R284" s="8"/>
      <c r="S284" s="8"/>
      <c r="T284" s="8">
        <f t="shared" si="22"/>
      </c>
      <c r="U284" s="8"/>
      <c r="V284" s="8"/>
      <c r="W284" s="8"/>
      <c r="X284" s="8"/>
      <c r="Y284" s="8"/>
      <c r="Z284" s="8"/>
      <c r="AA284" s="8"/>
      <c r="AB284" s="8" t="e">
        <f>#REF!</f>
        <v>#REF!</v>
      </c>
      <c r="AC284" s="23" t="e">
        <f t="shared" si="23"/>
        <v>#REF!</v>
      </c>
    </row>
    <row r="285" spans="2:29" ht="12.75">
      <c r="B285" s="29" t="str">
        <f>Sal!A64</f>
        <v>nombre d'heure moyen</v>
      </c>
      <c r="C285" s="47"/>
      <c r="D285" s="47"/>
      <c r="E285" s="47"/>
      <c r="F285" s="47"/>
      <c r="G285" s="47"/>
      <c r="H285" s="8"/>
      <c r="I285" s="23"/>
      <c r="L285" s="8"/>
      <c r="M285" s="8"/>
      <c r="N285" s="8"/>
      <c r="O285" s="8"/>
      <c r="P285" s="890"/>
      <c r="Q285" s="890"/>
      <c r="R285" s="8"/>
      <c r="S285" s="8"/>
      <c r="T285" s="8">
        <f t="shared" si="22"/>
      </c>
      <c r="U285" s="8"/>
      <c r="V285" s="8"/>
      <c r="W285" s="8"/>
      <c r="X285" s="8"/>
      <c r="Y285" s="8"/>
      <c r="Z285" s="8"/>
      <c r="AA285" s="8"/>
      <c r="AB285" s="8" t="e">
        <f>#REF!</f>
        <v>#REF!</v>
      </c>
      <c r="AC285" s="23" t="e">
        <f t="shared" si="23"/>
        <v>#REF!</v>
      </c>
    </row>
    <row r="286" spans="2:29" ht="12.75">
      <c r="B286" s="29"/>
      <c r="C286" s="47"/>
      <c r="D286" s="47"/>
      <c r="E286" s="47"/>
      <c r="F286" s="47"/>
      <c r="G286" s="47"/>
      <c r="H286" s="8"/>
      <c r="I286" s="23"/>
      <c r="L286" s="8"/>
      <c r="M286" s="8"/>
      <c r="N286" s="8"/>
      <c r="O286" s="8"/>
      <c r="P286" s="890"/>
      <c r="Q286" s="890"/>
      <c r="R286" s="8"/>
      <c r="S286" s="8"/>
      <c r="T286" s="8">
        <f t="shared" si="22"/>
      </c>
      <c r="U286" s="8"/>
      <c r="V286" s="8"/>
      <c r="W286" s="8"/>
      <c r="X286" s="8"/>
      <c r="Y286" s="8"/>
      <c r="Z286" s="8"/>
      <c r="AA286" s="8"/>
      <c r="AB286" s="8" t="e">
        <f>#REF!</f>
        <v>#REF!</v>
      </c>
      <c r="AC286" s="23" t="e">
        <f t="shared" si="23"/>
        <v>#REF!</v>
      </c>
    </row>
    <row r="287" spans="2:29" ht="12.75">
      <c r="B287" s="274" t="str">
        <f>Sal!A66</f>
        <v>PIB / habitant</v>
      </c>
      <c r="C287" s="52"/>
      <c r="D287" s="52"/>
      <c r="E287" s="52"/>
      <c r="F287" s="52"/>
      <c r="G287" s="52"/>
      <c r="H287" s="51"/>
      <c r="I287" s="22"/>
      <c r="J287" s="52">
        <f aca="true" t="shared" si="24" ref="J287:J293">T287</f>
        <v>0</v>
      </c>
      <c r="K287" s="52"/>
      <c r="L287" s="51"/>
      <c r="M287" s="51"/>
      <c r="N287" s="51"/>
      <c r="O287" s="51"/>
      <c r="P287" s="892"/>
      <c r="Q287" s="892"/>
      <c r="R287" s="51"/>
      <c r="S287" s="51" t="e">
        <f>MID(#REF!,1,2)</f>
        <v>#REF!</v>
      </c>
      <c r="T287" s="51">
        <f aca="true" t="shared" si="25" ref="T287:T293">L287</f>
        <v>0</v>
      </c>
      <c r="U287" s="51"/>
      <c r="V287" s="51"/>
      <c r="W287" s="51"/>
      <c r="X287" s="51"/>
      <c r="Y287" s="51"/>
      <c r="Z287" s="51"/>
      <c r="AA287" s="51"/>
      <c r="AB287" s="51" t="e">
        <f aca="true" t="shared" si="26" ref="AB287:AB293">IF(OR(T287=0,S287=""),"",S287*T287)</f>
        <v>#REF!</v>
      </c>
      <c r="AC287" s="22"/>
    </row>
    <row r="288" spans="2:29" ht="12.75">
      <c r="B288" s="29" t="str">
        <f>Sal!A67</f>
        <v>PNB du pays </v>
      </c>
      <c r="C288" s="47"/>
      <c r="D288" s="47"/>
      <c r="E288" s="47"/>
      <c r="F288" s="47"/>
      <c r="G288" s="47"/>
      <c r="H288" s="8"/>
      <c r="I288" s="23"/>
      <c r="J288" s="47">
        <f t="shared" si="24"/>
        <v>0</v>
      </c>
      <c r="K288" s="47"/>
      <c r="L288" s="8"/>
      <c r="M288" s="8"/>
      <c r="N288" s="8"/>
      <c r="O288" s="8"/>
      <c r="P288" s="890"/>
      <c r="Q288" s="890"/>
      <c r="R288" s="8"/>
      <c r="S288" s="8" t="e">
        <f>MID(#REF!,1,2)</f>
        <v>#REF!</v>
      </c>
      <c r="T288" s="8">
        <f t="shared" si="25"/>
        <v>0</v>
      </c>
      <c r="U288" s="8"/>
      <c r="V288" s="8"/>
      <c r="W288" s="8"/>
      <c r="X288" s="8"/>
      <c r="Y288" s="8"/>
      <c r="Z288" s="8"/>
      <c r="AA288" s="8"/>
      <c r="AB288" s="8" t="e">
        <f t="shared" si="26"/>
        <v>#REF!</v>
      </c>
      <c r="AC288" s="23"/>
    </row>
    <row r="289" spans="2:29" ht="12.75">
      <c r="B289" s="29" t="str">
        <f>Sal!A68</f>
        <v>PNB moyen / habitant</v>
      </c>
      <c r="C289" s="47"/>
      <c r="D289" s="47"/>
      <c r="E289" s="47"/>
      <c r="F289" s="47"/>
      <c r="G289" s="47"/>
      <c r="H289" s="8"/>
      <c r="I289" s="23"/>
      <c r="J289" s="47">
        <f t="shared" si="24"/>
        <v>0</v>
      </c>
      <c r="K289" s="47"/>
      <c r="L289" s="8"/>
      <c r="M289" s="8"/>
      <c r="N289" s="8"/>
      <c r="O289" s="8"/>
      <c r="P289" s="890"/>
      <c r="Q289" s="890"/>
      <c r="R289" s="8"/>
      <c r="S289" s="8" t="e">
        <f>MID(#REF!,1,2)</f>
        <v>#REF!</v>
      </c>
      <c r="T289" s="8">
        <f t="shared" si="25"/>
        <v>0</v>
      </c>
      <c r="U289" s="8"/>
      <c r="V289" s="8"/>
      <c r="W289" s="8"/>
      <c r="X289" s="8"/>
      <c r="Y289" s="8"/>
      <c r="Z289" s="8"/>
      <c r="AA289" s="8"/>
      <c r="AB289" s="8" t="e">
        <f t="shared" si="26"/>
        <v>#REF!</v>
      </c>
      <c r="AC289" s="23"/>
    </row>
    <row r="290" spans="2:29" ht="12.75">
      <c r="B290" s="29" t="str">
        <f>Sal!A69</f>
        <v>PNB Mondiale</v>
      </c>
      <c r="C290" s="47"/>
      <c r="D290" s="47"/>
      <c r="E290" s="47"/>
      <c r="F290" s="47"/>
      <c r="G290" s="47"/>
      <c r="H290" s="8"/>
      <c r="I290" s="23"/>
      <c r="J290" s="47">
        <f t="shared" si="24"/>
        <v>0</v>
      </c>
      <c r="K290" s="47"/>
      <c r="L290" s="8"/>
      <c r="M290" s="8"/>
      <c r="N290" s="8"/>
      <c r="O290" s="8"/>
      <c r="P290" s="890"/>
      <c r="Q290" s="890"/>
      <c r="R290" s="8"/>
      <c r="S290" s="8" t="e">
        <f>MID(#REF!,1,2)</f>
        <v>#REF!</v>
      </c>
      <c r="T290" s="8">
        <f t="shared" si="25"/>
        <v>0</v>
      </c>
      <c r="U290" s="8"/>
      <c r="V290" s="8"/>
      <c r="W290" s="8"/>
      <c r="X290" s="8"/>
      <c r="Y290" s="8"/>
      <c r="Z290" s="8"/>
      <c r="AA290" s="8"/>
      <c r="AB290" s="8" t="e">
        <f t="shared" si="26"/>
        <v>#REF!</v>
      </c>
      <c r="AC290" s="23"/>
    </row>
    <row r="291" spans="2:29" ht="12.75">
      <c r="B291" s="29" t="str">
        <f>Sal!A70</f>
        <v>PNB moyen / Adultes</v>
      </c>
      <c r="C291" s="47"/>
      <c r="D291" s="47"/>
      <c r="E291" s="47"/>
      <c r="F291" s="47"/>
      <c r="G291" s="47"/>
      <c r="H291" s="8"/>
      <c r="I291" s="23"/>
      <c r="J291" s="47">
        <f t="shared" si="24"/>
        <v>0</v>
      </c>
      <c r="K291" s="47"/>
      <c r="L291" s="8"/>
      <c r="M291" s="8"/>
      <c r="N291" s="8"/>
      <c r="O291" s="8"/>
      <c r="P291" s="890"/>
      <c r="Q291" s="890"/>
      <c r="R291" s="8"/>
      <c r="S291" s="8" t="e">
        <f>MID(#REF!,1,2)</f>
        <v>#REF!</v>
      </c>
      <c r="T291" s="8">
        <f t="shared" si="25"/>
        <v>0</v>
      </c>
      <c r="U291" s="8"/>
      <c r="V291" s="8"/>
      <c r="W291" s="8"/>
      <c r="X291" s="8"/>
      <c r="Y291" s="8"/>
      <c r="Z291" s="8"/>
      <c r="AA291" s="8"/>
      <c r="AB291" s="8" t="e">
        <f t="shared" si="26"/>
        <v>#REF!</v>
      </c>
      <c r="AC291" s="23"/>
    </row>
    <row r="292" spans="2:29" ht="12.75">
      <c r="B292" s="29" t="str">
        <f>Sal!A71</f>
        <v>PNB moyen / actif</v>
      </c>
      <c r="C292" s="47"/>
      <c r="D292" s="47"/>
      <c r="E292" s="47"/>
      <c r="F292" s="47"/>
      <c r="G292" s="47"/>
      <c r="H292" s="8"/>
      <c r="I292" s="23"/>
      <c r="J292" s="47">
        <f t="shared" si="24"/>
        <v>0</v>
      </c>
      <c r="K292" s="47"/>
      <c r="L292" s="8"/>
      <c r="M292" s="8"/>
      <c r="N292" s="8"/>
      <c r="O292" s="8"/>
      <c r="P292" s="890"/>
      <c r="Q292" s="890"/>
      <c r="R292" s="8"/>
      <c r="S292" s="8" t="e">
        <f>MID(#REF!,1,2)</f>
        <v>#REF!</v>
      </c>
      <c r="T292" s="8">
        <f t="shared" si="25"/>
        <v>0</v>
      </c>
      <c r="U292" s="8"/>
      <c r="V292" s="8"/>
      <c r="W292" s="8"/>
      <c r="X292" s="8"/>
      <c r="Y292" s="8"/>
      <c r="Z292" s="8"/>
      <c r="AA292" s="8"/>
      <c r="AB292" s="8" t="e">
        <f t="shared" si="26"/>
        <v>#REF!</v>
      </c>
      <c r="AC292" s="23"/>
    </row>
    <row r="293" spans="2:29" ht="12.75">
      <c r="B293" s="30"/>
      <c r="C293" s="365"/>
      <c r="D293" s="365"/>
      <c r="E293" s="365"/>
      <c r="F293" s="365"/>
      <c r="G293" s="365"/>
      <c r="H293" s="155"/>
      <c r="I293" s="31"/>
      <c r="J293" s="365">
        <f t="shared" si="24"/>
        <v>0</v>
      </c>
      <c r="K293" s="365"/>
      <c r="L293" s="155"/>
      <c r="M293" s="155"/>
      <c r="N293" s="155"/>
      <c r="O293" s="155"/>
      <c r="P293" s="893"/>
      <c r="Q293" s="893"/>
      <c r="R293" s="155"/>
      <c r="S293" s="155" t="e">
        <f>MID(#REF!,1,2)</f>
        <v>#REF!</v>
      </c>
      <c r="T293" s="155">
        <f t="shared" si="25"/>
        <v>0</v>
      </c>
      <c r="U293" s="155"/>
      <c r="V293" s="155"/>
      <c r="W293" s="155"/>
      <c r="X293" s="155"/>
      <c r="Y293" s="155"/>
      <c r="Z293" s="155"/>
      <c r="AA293" s="155"/>
      <c r="AB293" s="155" t="e">
        <f t="shared" si="26"/>
        <v>#REF!</v>
      </c>
      <c r="AC293" s="31"/>
    </row>
  </sheetData>
  <sheetProtection/>
  <mergeCells count="50">
    <mergeCell ref="S57:T57"/>
    <mergeCell ref="U57:V57"/>
    <mergeCell ref="B1:H1"/>
    <mergeCell ref="G78:H78"/>
    <mergeCell ref="C78:D78"/>
    <mergeCell ref="E78:F78"/>
    <mergeCell ref="B39:H39"/>
    <mergeCell ref="B77:H77"/>
    <mergeCell ref="B19:H19"/>
    <mergeCell ref="B2:C2"/>
    <mergeCell ref="D2:H2"/>
    <mergeCell ref="B40:C40"/>
    <mergeCell ref="G118:H118"/>
    <mergeCell ref="B58:D58"/>
    <mergeCell ref="E58:H58"/>
    <mergeCell ref="E60:F60"/>
    <mergeCell ref="E69:F69"/>
    <mergeCell ref="E63:F63"/>
    <mergeCell ref="E64:F64"/>
    <mergeCell ref="E72:F72"/>
    <mergeCell ref="B200:F200"/>
    <mergeCell ref="E20:H20"/>
    <mergeCell ref="B20:D20"/>
    <mergeCell ref="B171:H171"/>
    <mergeCell ref="B175:H175"/>
    <mergeCell ref="B179:H179"/>
    <mergeCell ref="B151:H151"/>
    <mergeCell ref="G153:H153"/>
    <mergeCell ref="B155:D155"/>
    <mergeCell ref="B156:H156"/>
    <mergeCell ref="B57:H57"/>
    <mergeCell ref="E61:F61"/>
    <mergeCell ref="S39:T39"/>
    <mergeCell ref="B187:F187"/>
    <mergeCell ref="B163:H163"/>
    <mergeCell ref="B152:D152"/>
    <mergeCell ref="C153:D153"/>
    <mergeCell ref="E153:F153"/>
    <mergeCell ref="B116:I116"/>
    <mergeCell ref="C118:D118"/>
    <mergeCell ref="U39:V39"/>
    <mergeCell ref="E73:F73"/>
    <mergeCell ref="E65:F65"/>
    <mergeCell ref="E66:F66"/>
    <mergeCell ref="E67:F67"/>
    <mergeCell ref="E68:F68"/>
    <mergeCell ref="E70:F70"/>
    <mergeCell ref="E71:F71"/>
    <mergeCell ref="E62:F62"/>
    <mergeCell ref="D40:H40"/>
  </mergeCells>
  <hyperlinks>
    <hyperlink ref="J77" location="DOC!A1" display="Page 1"/>
    <hyperlink ref="J151" location="DOC!A1" display="Page  3"/>
    <hyperlink ref="I3" location="DOC!A74" display="SIG"/>
    <hyperlink ref="I4" location="DOC!A96" display="BF"/>
    <hyperlink ref="I5" location="DOC!A146" display="FR"/>
    <hyperlink ref="J114" location="DOC!A1" display="Page 1"/>
    <hyperlink ref="J187" location="DOC!A1" display="Page  3"/>
    <hyperlink ref="I6" location="DOC!A183" display="R.FR"/>
    <hyperlink ref="J223" location="DOC!A1" display="Page  3"/>
    <hyperlink ref="I7" location="DOC!A212" display="PNB ETATS"/>
    <hyperlink ref="J260" location="DOC!A1" display="Page  3"/>
    <hyperlink ref="I8" location="DOC!A254" display="PNB SA"/>
  </hyperlinks>
  <printOptions/>
  <pageMargins left="0.7874015748031497" right="0.7874015748031497" top="0.984251968503937" bottom="0.7874015748031497" header="0.5118110236220472" footer="0.5118110236220472"/>
  <pageSetup orientation="landscape" paperSize="9" r:id="rId2"/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euil17"/>
  <dimension ref="A1:S115"/>
  <sheetViews>
    <sheetView zoomScalePageLayoutView="0" workbookViewId="0" topLeftCell="A16">
      <selection activeCell="A1" sqref="A1:F1"/>
    </sheetView>
  </sheetViews>
  <sheetFormatPr defaultColWidth="11.421875" defaultRowHeight="12.75"/>
  <cols>
    <col min="1" max="1" width="43.57421875" style="6" customWidth="1"/>
    <col min="2" max="2" width="2.28125" style="1238" customWidth="1"/>
    <col min="3" max="3" width="11.7109375" style="1302" customWidth="1"/>
    <col min="4" max="4" width="11.57421875" style="1302" customWidth="1"/>
    <col min="5" max="5" width="10.421875" style="1296" customWidth="1"/>
    <col min="6" max="6" width="11.421875" style="1296" customWidth="1"/>
    <col min="7" max="7" width="10.421875" style="1296" customWidth="1"/>
    <col min="8" max="8" width="42.421875" style="1237" customWidth="1"/>
    <col min="9" max="9" width="29.140625" style="1237" customWidth="1"/>
    <col min="10" max="11" width="11.7109375" style="462" bestFit="1" customWidth="1"/>
    <col min="12" max="12" width="10.421875" style="467" customWidth="1"/>
    <col min="13" max="13" width="10.00390625" style="13" customWidth="1"/>
    <col min="14" max="16384" width="11.421875" style="13" customWidth="1"/>
  </cols>
  <sheetData>
    <row r="1" spans="1:19" ht="12.75" customHeight="1">
      <c r="A1" s="2059" t="s">
        <v>623</v>
      </c>
      <c r="B1" s="2060"/>
      <c r="C1" s="2060"/>
      <c r="D1" s="2060"/>
      <c r="E1" s="2060"/>
      <c r="F1" s="2061"/>
      <c r="G1" s="1283"/>
      <c r="H1" s="2070"/>
      <c r="I1" s="1274"/>
      <c r="J1" s="516"/>
      <c r="K1" s="516"/>
      <c r="L1" s="703" t="s">
        <v>29</v>
      </c>
      <c r="M1" s="1188" t="s">
        <v>122</v>
      </c>
      <c r="N1" s="14" t="s">
        <v>9</v>
      </c>
      <c r="O1" s="504"/>
      <c r="P1" s="704"/>
      <c r="Q1" s="704"/>
      <c r="R1" s="704"/>
      <c r="S1" s="705"/>
    </row>
    <row r="2" spans="1:19" ht="12.75" customHeight="1">
      <c r="A2" s="1860" t="s">
        <v>1083</v>
      </c>
      <c r="B2" s="1861"/>
      <c r="C2" s="1861"/>
      <c r="D2" s="1861"/>
      <c r="E2" s="1861"/>
      <c r="F2" s="1862"/>
      <c r="G2" s="1284"/>
      <c r="H2" s="2070"/>
      <c r="I2" s="1274"/>
      <c r="J2" s="1265"/>
      <c r="K2" s="1265"/>
      <c r="L2" s="1266"/>
      <c r="M2" s="456"/>
      <c r="N2" s="461"/>
      <c r="O2" s="2065" t="s">
        <v>591</v>
      </c>
      <c r="P2" s="2066"/>
      <c r="Q2" s="2066"/>
      <c r="R2" s="2066"/>
      <c r="S2" s="2067"/>
    </row>
    <row r="3" spans="1:19" ht="12.75" customHeight="1">
      <c r="A3" s="1365"/>
      <c r="B3" s="1365"/>
      <c r="C3" s="2071" t="s">
        <v>29</v>
      </c>
      <c r="D3" s="2072"/>
      <c r="E3" s="2073"/>
      <c r="F3" s="1370" t="s">
        <v>122</v>
      </c>
      <c r="G3" s="364" t="s">
        <v>9</v>
      </c>
      <c r="H3" s="2070"/>
      <c r="I3" s="1323"/>
      <c r="J3" s="1277"/>
      <c r="K3" s="1277"/>
      <c r="L3" s="1278"/>
      <c r="M3" s="74"/>
      <c r="N3" s="14"/>
      <c r="O3" s="1279"/>
      <c r="P3" s="1280"/>
      <c r="Q3" s="1280"/>
      <c r="R3" s="1280"/>
      <c r="S3" s="1281"/>
    </row>
    <row r="4" spans="1:19" ht="12.75" customHeight="1">
      <c r="A4" s="1355"/>
      <c r="B4" s="1270"/>
      <c r="C4" s="1342" t="s">
        <v>1077</v>
      </c>
      <c r="D4" s="1311" t="s">
        <v>1078</v>
      </c>
      <c r="E4" s="331" t="s">
        <v>1079</v>
      </c>
      <c r="F4" s="299"/>
      <c r="G4" s="369"/>
      <c r="H4" s="2070"/>
      <c r="I4" s="1324"/>
      <c r="J4" s="331" t="s">
        <v>1077</v>
      </c>
      <c r="K4" s="331" t="s">
        <v>1078</v>
      </c>
      <c r="L4" s="447" t="s">
        <v>1079</v>
      </c>
      <c r="M4" s="23"/>
      <c r="N4" s="14"/>
      <c r="O4" s="504"/>
      <c r="P4" s="704"/>
      <c r="Q4" s="704"/>
      <c r="R4" s="704"/>
      <c r="S4" s="705"/>
    </row>
    <row r="5" spans="1:19" ht="12.75" customHeight="1">
      <c r="A5" s="1356" t="str">
        <f>IF(B6="x"," ",I5)</f>
        <v>SEUIL DE RENTABILITE</v>
      </c>
      <c r="B5" s="1271"/>
      <c r="C5" s="1343"/>
      <c r="D5" s="1312"/>
      <c r="E5" s="1286"/>
      <c r="F5" s="1285"/>
      <c r="G5" s="1224"/>
      <c r="H5" s="2070"/>
      <c r="I5" s="298" t="s">
        <v>1084</v>
      </c>
      <c r="J5" s="323"/>
      <c r="K5" s="323"/>
      <c r="L5" s="446"/>
      <c r="M5" s="14"/>
      <c r="N5" s="14"/>
      <c r="O5" s="504"/>
      <c r="P5" s="704"/>
      <c r="Q5" s="704"/>
      <c r="R5" s="704"/>
      <c r="S5" s="705"/>
    </row>
    <row r="6" spans="1:19" ht="12.75" customHeight="1">
      <c r="A6" s="1356" t="str">
        <f aca="true" t="shared" si="0" ref="A6:A15">IF(B7="x"," ",I6)</f>
        <v>Rentabilité nette = Résultat net / CA</v>
      </c>
      <c r="B6" s="1271"/>
      <c r="C6" s="1343">
        <f>IF(B6="x"," ",J6)</f>
        <v>245656</v>
      </c>
      <c r="D6" s="1312">
        <f>IF(B6="x"," ",K6)</f>
        <v>9238580</v>
      </c>
      <c r="E6" s="323">
        <f>IF(B6="x"," ",L6)</f>
        <v>0.02659023356403257</v>
      </c>
      <c r="F6" s="1285"/>
      <c r="G6" s="1224"/>
      <c r="H6" s="2070"/>
      <c r="I6" s="298" t="s">
        <v>7</v>
      </c>
      <c r="J6" s="457">
        <f>Résultat_net</f>
        <v>245656</v>
      </c>
      <c r="K6" s="457">
        <f>G_CA1</f>
        <v>9238580</v>
      </c>
      <c r="L6" s="463">
        <f>IF(OR(B6="x",K6=0),"",J6/K6)</f>
        <v>0.02659023356403257</v>
      </c>
      <c r="M6" s="14"/>
      <c r="N6" s="14"/>
      <c r="O6" s="504"/>
      <c r="P6" s="704"/>
      <c r="Q6" s="704"/>
      <c r="R6" s="704"/>
      <c r="S6" s="705"/>
    </row>
    <row r="7" spans="1:19" ht="12.75" customHeight="1">
      <c r="A7" s="1356" t="str">
        <f t="shared" si="0"/>
        <v>Rentabilité des capitaux propres =                                               Résultat exercices / K propres</v>
      </c>
      <c r="B7" s="1271"/>
      <c r="C7" s="1343">
        <f aca="true" t="shared" si="1" ref="C7:C14">IF(B7="x"," ",J7)</f>
        <v>245656</v>
      </c>
      <c r="D7" s="1312">
        <f aca="true" t="shared" si="2" ref="D7:D14">IF(B7="x"," ",K7)</f>
        <v>1438064</v>
      </c>
      <c r="E7" s="323">
        <f aca="true" t="shared" si="3" ref="E7:E14">IF(B7="x"," ",L7)</f>
        <v>0.17082410796737837</v>
      </c>
      <c r="F7" s="1285"/>
      <c r="G7" s="1224"/>
      <c r="H7" s="2070"/>
      <c r="I7" s="298" t="s">
        <v>964</v>
      </c>
      <c r="J7" s="457">
        <f>Résultat_net</f>
        <v>245656</v>
      </c>
      <c r="K7" s="457">
        <f>B!J24</f>
        <v>1438064</v>
      </c>
      <c r="L7" s="463">
        <f aca="true" t="shared" si="4" ref="L7:L15">IF(OR(B7="x",K7=0),"",J7/K7)</f>
        <v>0.17082410796737837</v>
      </c>
      <c r="M7" s="14"/>
      <c r="N7" s="14"/>
      <c r="O7" s="504"/>
      <c r="P7" s="704"/>
      <c r="Q7" s="704"/>
      <c r="R7" s="704"/>
      <c r="S7" s="705"/>
    </row>
    <row r="8" spans="1:19" ht="27" customHeight="1">
      <c r="A8" s="1356" t="str">
        <f t="shared" si="0"/>
        <v>Rentabilité des K propres  hors exploitation=                                               Résultat courant / K propres</v>
      </c>
      <c r="B8" s="1271"/>
      <c r="C8" s="1343">
        <f t="shared" si="1"/>
        <v>378048</v>
      </c>
      <c r="D8" s="1312">
        <f t="shared" si="2"/>
        <v>1438064</v>
      </c>
      <c r="E8" s="323">
        <f t="shared" si="3"/>
        <v>0.2628867699907654</v>
      </c>
      <c r="F8" s="1285"/>
      <c r="G8" s="1224"/>
      <c r="H8" s="2070"/>
      <c r="I8" s="298" t="s">
        <v>963</v>
      </c>
      <c r="J8" s="457">
        <f>'R1'!I41</f>
        <v>378048</v>
      </c>
      <c r="K8" s="457">
        <f>B!J24</f>
        <v>1438064</v>
      </c>
      <c r="L8" s="463">
        <f t="shared" si="4"/>
        <v>0.2628867699907654</v>
      </c>
      <c r="M8" s="14"/>
      <c r="N8" s="14"/>
      <c r="O8" s="504"/>
      <c r="P8" s="704"/>
      <c r="Q8" s="704"/>
      <c r="R8" s="704"/>
      <c r="S8" s="705"/>
    </row>
    <row r="9" spans="1:19" ht="12.75" customHeight="1">
      <c r="A9" s="1378" t="str">
        <f t="shared" si="0"/>
        <v>Rentabilité économique 1 = EBE / CA</v>
      </c>
      <c r="B9" s="1264"/>
      <c r="C9" s="1344">
        <f t="shared" si="1"/>
        <v>792033</v>
      </c>
      <c r="D9" s="1313">
        <f t="shared" si="2"/>
        <v>9238580</v>
      </c>
      <c r="E9" s="1369">
        <f t="shared" si="3"/>
        <v>0.08573103225820418</v>
      </c>
      <c r="F9" s="1287"/>
      <c r="G9" s="1372"/>
      <c r="H9" s="2070"/>
      <c r="I9" s="1325" t="s">
        <v>1080</v>
      </c>
      <c r="J9" s="1189">
        <f>EBE</f>
        <v>792033</v>
      </c>
      <c r="K9" s="1189">
        <f>G_CA1</f>
        <v>9238580</v>
      </c>
      <c r="L9" s="1190">
        <f t="shared" si="4"/>
        <v>0.08573103225820418</v>
      </c>
      <c r="M9" s="1226"/>
      <c r="N9" s="14"/>
      <c r="O9" s="504"/>
      <c r="P9" s="704">
        <v>245656</v>
      </c>
      <c r="Q9" s="704" t="s">
        <v>962</v>
      </c>
      <c r="R9" s="704"/>
      <c r="S9" s="705"/>
    </row>
    <row r="10" spans="1:19" ht="12.75" customHeight="1">
      <c r="A10" s="1356" t="str">
        <f t="shared" si="0"/>
        <v>Rentabilité économique 2 = Marge Brute d'Autofinancement/ CA</v>
      </c>
      <c r="B10" s="1271"/>
      <c r="C10" s="1343">
        <f t="shared" si="1"/>
        <v>0</v>
      </c>
      <c r="D10" s="1312">
        <f t="shared" si="2"/>
        <v>9238580</v>
      </c>
      <c r="E10" s="323">
        <f t="shared" si="3"/>
        <v>0</v>
      </c>
      <c r="F10" s="1285"/>
      <c r="G10" s="1224"/>
      <c r="H10" s="2070"/>
      <c r="I10" s="298" t="s">
        <v>985</v>
      </c>
      <c r="J10" s="457">
        <f>MargeCom</f>
        <v>0</v>
      </c>
      <c r="K10" s="457">
        <f>G_CA1</f>
        <v>9238580</v>
      </c>
      <c r="L10" s="463">
        <f t="shared" si="4"/>
        <v>0</v>
      </c>
      <c r="M10" s="14"/>
      <c r="N10" s="14"/>
      <c r="O10" s="504"/>
      <c r="P10" s="1187"/>
      <c r="Q10" s="2068"/>
      <c r="R10" s="2068"/>
      <c r="S10" s="2069"/>
    </row>
    <row r="11" spans="1:19" ht="12.75" customHeight="1">
      <c r="A11" s="1356" t="str">
        <f t="shared" si="0"/>
        <v>Rentabilité Industrielle = EBE / Immos</v>
      </c>
      <c r="B11" s="1271"/>
      <c r="C11" s="1343">
        <f t="shared" si="1"/>
        <v>792033</v>
      </c>
      <c r="D11" s="1312">
        <f t="shared" si="2"/>
        <v>1165030</v>
      </c>
      <c r="E11" s="323">
        <f t="shared" si="3"/>
        <v>0.6798391457730703</v>
      </c>
      <c r="F11" s="1285"/>
      <c r="G11" s="1224"/>
      <c r="H11" s="2070"/>
      <c r="I11" s="298" t="s">
        <v>1086</v>
      </c>
      <c r="J11" s="457">
        <f>G_EBE1</f>
        <v>792033</v>
      </c>
      <c r="K11" s="457">
        <f>B!D31</f>
        <v>1165030</v>
      </c>
      <c r="L11" s="463">
        <f t="shared" si="4"/>
        <v>0.6798391457730703</v>
      </c>
      <c r="M11" s="23"/>
      <c r="N11" s="67"/>
      <c r="O11" s="504" t="s">
        <v>971</v>
      </c>
      <c r="P11" s="704"/>
      <c r="Q11" s="704"/>
      <c r="R11" s="704"/>
      <c r="S11" s="705"/>
    </row>
    <row r="12" spans="1:19" ht="12.75" customHeight="1">
      <c r="A12" s="1356" t="str">
        <f t="shared" si="0"/>
        <v>Rentabilité financière = Résultat net / fond propres</v>
      </c>
      <c r="B12" s="1271"/>
      <c r="C12" s="1343">
        <f t="shared" si="1"/>
        <v>245656</v>
      </c>
      <c r="D12" s="1312">
        <f t="shared" si="2"/>
        <v>0</v>
      </c>
      <c r="E12" s="323">
        <f t="shared" si="3"/>
      </c>
      <c r="F12" s="1285"/>
      <c r="G12" s="1224"/>
      <c r="H12" s="2070"/>
      <c r="I12" s="298" t="s">
        <v>8</v>
      </c>
      <c r="J12" s="457">
        <f>J6</f>
        <v>245656</v>
      </c>
      <c r="K12" s="457"/>
      <c r="L12" s="463">
        <f t="shared" si="4"/>
      </c>
      <c r="M12" s="14"/>
      <c r="N12" s="14"/>
      <c r="O12" s="504"/>
      <c r="P12" s="704">
        <v>2000</v>
      </c>
      <c r="Q12" s="704" t="s">
        <v>408</v>
      </c>
      <c r="R12" s="704"/>
      <c r="S12" s="705"/>
    </row>
    <row r="13" spans="1:19" ht="12.75" customHeight="1">
      <c r="A13" s="1356" t="str">
        <f t="shared" si="0"/>
        <v>Rentabilité Actifs = EBE / Investissement</v>
      </c>
      <c r="B13" s="1271"/>
      <c r="C13" s="1343">
        <f t="shared" si="1"/>
        <v>792033</v>
      </c>
      <c r="D13" s="1312">
        <f t="shared" si="2"/>
        <v>0</v>
      </c>
      <c r="E13" s="323">
        <f t="shared" si="3"/>
      </c>
      <c r="F13" s="1285"/>
      <c r="G13" s="1224"/>
      <c r="H13" s="2070"/>
      <c r="I13" s="298" t="s">
        <v>1081</v>
      </c>
      <c r="J13" s="457">
        <f>G_EBE1</f>
        <v>792033</v>
      </c>
      <c r="K13" s="457"/>
      <c r="L13" s="463">
        <f t="shared" si="4"/>
      </c>
      <c r="M13" s="14"/>
      <c r="N13" s="14"/>
      <c r="O13" s="504"/>
      <c r="P13" s="769">
        <f>SUM(P9:P12)</f>
        <v>247656</v>
      </c>
      <c r="Q13" s="704"/>
      <c r="R13" s="704"/>
      <c r="S13" s="705"/>
    </row>
    <row r="14" spans="1:19" ht="12.75" customHeight="1">
      <c r="A14" s="1356" t="str">
        <f t="shared" si="0"/>
        <v>Rotation Immobilisation = CA / Immos ; % Immo/CA</v>
      </c>
      <c r="B14" s="1271"/>
      <c r="C14" s="1343">
        <f t="shared" si="1"/>
        <v>9238580</v>
      </c>
      <c r="D14" s="1312">
        <f t="shared" si="2"/>
        <v>1165030</v>
      </c>
      <c r="E14" s="323">
        <f t="shared" si="3"/>
        <v>7.929907384359201</v>
      </c>
      <c r="F14" s="1285"/>
      <c r="G14" s="1224"/>
      <c r="H14" s="2070"/>
      <c r="I14" s="298" t="s">
        <v>614</v>
      </c>
      <c r="J14" s="457">
        <f>G_CA1</f>
        <v>9238580</v>
      </c>
      <c r="K14" s="457">
        <f>B!D31</f>
        <v>1165030</v>
      </c>
      <c r="L14" s="446">
        <f>IF(OR(B14="x",K14=0),"",J14/K14)</f>
        <v>7.929907384359201</v>
      </c>
      <c r="M14" s="463">
        <f>IF(J14=0,"",K14/J14)</f>
        <v>0.12610487758941308</v>
      </c>
      <c r="N14" s="14"/>
      <c r="O14" s="504"/>
      <c r="P14" s="704"/>
      <c r="Q14" s="704"/>
      <c r="R14" s="704"/>
      <c r="S14" s="705"/>
    </row>
    <row r="15" spans="1:19" ht="12.75" customHeight="1">
      <c r="A15" s="1357" t="str">
        <f t="shared" si="0"/>
        <v>Rotation actifs = CA / Actifs total ;  % Actif / CA</v>
      </c>
      <c r="B15" s="1366"/>
      <c r="C15" s="1348">
        <f>IF(B15="x"," ",J15)</f>
        <v>9238580</v>
      </c>
      <c r="D15" s="1314">
        <f>IF(B15="x"," ",K15)</f>
        <v>5321918</v>
      </c>
      <c r="E15" s="325">
        <f>IF(B15="x"," ",L15)</f>
        <v>1.7359493325526625</v>
      </c>
      <c r="F15" s="1366"/>
      <c r="G15" s="1373"/>
      <c r="H15" s="2070"/>
      <c r="I15" s="1326" t="s">
        <v>615</v>
      </c>
      <c r="J15" s="457">
        <f>J14</f>
        <v>9238580</v>
      </c>
      <c r="K15" s="457">
        <f>B!D59</f>
        <v>5321918</v>
      </c>
      <c r="L15" s="446">
        <f t="shared" si="4"/>
        <v>1.7359493325526625</v>
      </c>
      <c r="M15" s="463">
        <f>IF(J15=0,"",K15/J15)</f>
        <v>0.5760536792450788</v>
      </c>
      <c r="N15" s="14"/>
      <c r="O15" s="504"/>
      <c r="P15" s="704"/>
      <c r="Q15" s="704"/>
      <c r="R15" s="704"/>
      <c r="S15" s="705"/>
    </row>
    <row r="16" spans="1:19" ht="12.75" customHeight="1">
      <c r="A16" s="2062" t="str">
        <f aca="true" t="shared" si="5" ref="A16:A70">IF(B17="x"," ",I16)</f>
        <v>RATIOS D'EXPLOITATION</v>
      </c>
      <c r="B16" s="2063"/>
      <c r="C16" s="2063"/>
      <c r="D16" s="2063"/>
      <c r="E16" s="2063"/>
      <c r="F16" s="2064"/>
      <c r="G16" s="1371"/>
      <c r="H16" s="2070"/>
      <c r="I16" s="1327" t="s">
        <v>1082</v>
      </c>
      <c r="J16" s="1265"/>
      <c r="K16" s="1265"/>
      <c r="L16" s="1266"/>
      <c r="M16" s="456"/>
      <c r="N16" s="14"/>
      <c r="O16" s="504"/>
      <c r="P16" s="704"/>
      <c r="Q16" s="704"/>
      <c r="R16" s="704"/>
      <c r="S16" s="705"/>
    </row>
    <row r="17" spans="1:19" s="17" customFormat="1" ht="12.75" customHeight="1">
      <c r="A17" s="2074" t="str">
        <f t="shared" si="5"/>
        <v>INFLATION  ANNUELLE ( Générale ; Sectorielle)</v>
      </c>
      <c r="B17" s="2075"/>
      <c r="C17" s="2075"/>
      <c r="D17" s="2075"/>
      <c r="E17" s="2075"/>
      <c r="F17" s="2076"/>
      <c r="G17" s="1368"/>
      <c r="H17" s="2070"/>
      <c r="I17" s="1328" t="s">
        <v>973</v>
      </c>
      <c r="J17" s="127"/>
      <c r="K17" s="1161"/>
      <c r="L17" s="1169">
        <v>0.025</v>
      </c>
      <c r="M17" s="1168"/>
      <c r="N17" s="1226"/>
      <c r="O17" s="504"/>
      <c r="P17" s="704"/>
      <c r="Q17" s="704"/>
      <c r="R17" s="704"/>
      <c r="S17" s="705"/>
    </row>
    <row r="18" spans="1:19" ht="12.75" customHeight="1">
      <c r="A18" s="298" t="str">
        <f t="shared" si="5"/>
        <v>Taux de la valeur ajouté = VA / CA</v>
      </c>
      <c r="B18" s="1354"/>
      <c r="C18" s="1345">
        <f>IF(B18="x"," ",J18)</f>
        <v>5124355</v>
      </c>
      <c r="D18" s="1315">
        <f>IF(B18="x"," ",K18)</f>
        <v>9238580</v>
      </c>
      <c r="E18" s="1304">
        <f>IF(B18="x"," ",L18)</f>
        <v>0.5546691158164999</v>
      </c>
      <c r="F18" s="1305"/>
      <c r="G18" s="1295"/>
      <c r="H18" s="2070"/>
      <c r="I18" s="1329" t="s">
        <v>1085</v>
      </c>
      <c r="J18" s="1191">
        <f>G_VA1</f>
        <v>5124355</v>
      </c>
      <c r="K18" s="1191">
        <f>G_CA1</f>
        <v>9238580</v>
      </c>
      <c r="L18" s="1192">
        <f>IF(K18=0,"",J18/K18)</f>
        <v>0.5546691158164999</v>
      </c>
      <c r="M18" s="23"/>
      <c r="N18" s="67"/>
      <c r="O18" s="504"/>
      <c r="P18" s="704"/>
      <c r="Q18" s="704"/>
      <c r="R18" s="704"/>
      <c r="S18" s="705"/>
    </row>
    <row r="19" spans="1:19" ht="12.75" customHeight="1">
      <c r="A19" s="298" t="str">
        <f t="shared" si="5"/>
        <v>Evolution du CA = ( CA n - CA n-1) / CA n-1</v>
      </c>
      <c r="B19" s="1270"/>
      <c r="C19" s="1346">
        <f>IF(B19="x"," ",J19)</f>
        <v>9238580</v>
      </c>
      <c r="D19" s="1316">
        <f>IF(B19="x"," ",K19)</f>
        <v>8912420</v>
      </c>
      <c r="E19" s="1194">
        <f aca="true" t="shared" si="6" ref="E19:E28">IF(B19="x"," ",L19)</f>
        <v>0.03659612091889745</v>
      </c>
      <c r="F19" s="1289"/>
      <c r="G19" s="1295"/>
      <c r="H19" s="2070"/>
      <c r="I19" s="1330" t="s">
        <v>1114</v>
      </c>
      <c r="J19" s="1193">
        <f>G_CA1</f>
        <v>9238580</v>
      </c>
      <c r="K19" s="1193">
        <f>G_CA0</f>
        <v>8912420</v>
      </c>
      <c r="L19" s="1194">
        <f>IF(K19=0,"",(J19-K19)/K19)</f>
        <v>0.03659612091889745</v>
      </c>
      <c r="M19" s="22"/>
      <c r="N19" s="67"/>
      <c r="O19" s="504"/>
      <c r="P19" s="704"/>
      <c r="Q19" s="704"/>
      <c r="R19" s="704"/>
      <c r="S19" s="705"/>
    </row>
    <row r="20" spans="1:19" ht="12.75" customHeight="1">
      <c r="A20" s="298" t="str">
        <f t="shared" si="5"/>
        <v>Evolution de la VA = (VA n - VA n-1) / VA n-1</v>
      </c>
      <c r="B20" s="1271"/>
      <c r="C20" s="1347">
        <f>IF(B20="x"," ",J20)</f>
        <v>5124355</v>
      </c>
      <c r="D20" s="1317">
        <f>IF(B20="x"," ",K20)</f>
        <v>4837112</v>
      </c>
      <c r="E20" s="1192">
        <f t="shared" si="6"/>
        <v>0.05938316086127425</v>
      </c>
      <c r="F20" s="1289"/>
      <c r="G20" s="1295"/>
      <c r="H20" s="2070"/>
      <c r="I20" s="1331" t="s">
        <v>1115</v>
      </c>
      <c r="J20" s="1191">
        <f>G_VA1</f>
        <v>5124355</v>
      </c>
      <c r="K20" s="1191">
        <f>SIG0!M19</f>
        <v>4837112</v>
      </c>
      <c r="L20" s="1192">
        <f>IF(K20=0,"",(J20-K20)/K20)</f>
        <v>0.05938316086127425</v>
      </c>
      <c r="M20" s="23"/>
      <c r="N20" s="67"/>
      <c r="O20" s="504"/>
      <c r="P20" s="704"/>
      <c r="Q20" s="704"/>
      <c r="R20" s="704"/>
      <c r="S20" s="705"/>
    </row>
    <row r="21" spans="1:19" ht="12.75" customHeight="1">
      <c r="A21" s="298" t="str">
        <f t="shared" si="5"/>
        <v>Evolution EBE : EBE n - EBE n-1 / EBE n-1</v>
      </c>
      <c r="B21" s="18"/>
      <c r="C21" s="1348">
        <f>IF(B21="x"," ",J21)</f>
        <v>792033</v>
      </c>
      <c r="D21" s="1314">
        <f>IF(B21="x"," ",K21)</f>
        <v>8912420</v>
      </c>
      <c r="E21" s="465">
        <f t="shared" si="6"/>
        <v>-0.9111315445187727</v>
      </c>
      <c r="F21" s="1221"/>
      <c r="G21" s="1224"/>
      <c r="H21" s="2070"/>
      <c r="I21" s="1326" t="s">
        <v>1088</v>
      </c>
      <c r="J21" s="460">
        <f>EBE</f>
        <v>792033</v>
      </c>
      <c r="K21" s="460">
        <f>SIG0!M28</f>
        <v>8912420</v>
      </c>
      <c r="L21" s="465">
        <f>IF(OR(K21=0,B21="x"),"",(J21-K21)/K21)</f>
        <v>-0.9111315445187727</v>
      </c>
      <c r="M21" s="31"/>
      <c r="N21" s="67"/>
      <c r="O21" s="504"/>
      <c r="P21" s="704"/>
      <c r="Q21" s="704"/>
      <c r="R21" s="704"/>
      <c r="S21" s="705"/>
    </row>
    <row r="22" spans="1:19" ht="12.75" customHeight="1">
      <c r="A22" s="298" t="str">
        <f t="shared" si="5"/>
        <v>Taux de marge brute d'exploitation = EBE / CA HT</v>
      </c>
      <c r="B22" s="1263"/>
      <c r="C22" s="1349">
        <f aca="true" t="shared" si="7" ref="C22:C28">IF(B22="x"," ",J22)</f>
        <v>792033</v>
      </c>
      <c r="D22" s="1318">
        <f aca="true" t="shared" si="8" ref="D22:D28">IF(B22="x"," ",K22)</f>
        <v>8912420</v>
      </c>
      <c r="E22" s="1269">
        <f t="shared" si="6"/>
        <v>0.08886845548122732</v>
      </c>
      <c r="F22" s="1285"/>
      <c r="G22" s="1224"/>
      <c r="H22" s="2070"/>
      <c r="I22" s="1324" t="s">
        <v>974</v>
      </c>
      <c r="J22" s="457">
        <f>EBE</f>
        <v>792033</v>
      </c>
      <c r="K22" s="457">
        <f>K21</f>
        <v>8912420</v>
      </c>
      <c r="L22" s="463">
        <f aca="true" t="shared" si="9" ref="L22:L29">IF(K22=0,"",J22/K22)</f>
        <v>0.08886845548122732</v>
      </c>
      <c r="M22" s="23"/>
      <c r="N22" s="67"/>
      <c r="O22" s="504"/>
      <c r="P22" s="704"/>
      <c r="Q22" s="704"/>
      <c r="R22" s="704"/>
      <c r="S22" s="705"/>
    </row>
    <row r="23" spans="1:19" ht="19.5" customHeight="1">
      <c r="A23" s="298" t="str">
        <f t="shared" si="5"/>
        <v>Rentabilité de la main d'oeuvre en % : EBE / Salaire =</v>
      </c>
      <c r="B23" s="1223"/>
      <c r="C23" s="1343">
        <f t="shared" si="7"/>
        <v>792033</v>
      </c>
      <c r="D23" s="1312">
        <f t="shared" si="8"/>
        <v>2822650</v>
      </c>
      <c r="E23" s="463">
        <f t="shared" si="6"/>
        <v>0.28059908242254616</v>
      </c>
      <c r="F23" s="1285"/>
      <c r="G23" s="1224"/>
      <c r="H23" s="2070"/>
      <c r="I23" s="298" t="s">
        <v>977</v>
      </c>
      <c r="J23" s="457">
        <f>G_EBE1</f>
        <v>792033</v>
      </c>
      <c r="K23" s="457">
        <f>G_Salaire</f>
        <v>2822650</v>
      </c>
      <c r="L23" s="463">
        <f t="shared" si="9"/>
        <v>0.28059908242254616</v>
      </c>
      <c r="M23" s="23"/>
      <c r="N23" s="67"/>
      <c r="O23" s="504"/>
      <c r="P23" s="704"/>
      <c r="Q23" s="704"/>
      <c r="R23" s="704"/>
      <c r="S23" s="705"/>
    </row>
    <row r="24" spans="1:19" ht="12.75" customHeight="1">
      <c r="A24" s="298" t="str">
        <f t="shared" si="5"/>
        <v>Rentabilité de la main d'Oeuvre = EBE / Effectifs</v>
      </c>
      <c r="B24" s="18"/>
      <c r="C24" s="1348">
        <f t="shared" si="7"/>
        <v>792033</v>
      </c>
      <c r="D24" s="1314">
        <f t="shared" si="8"/>
        <v>30</v>
      </c>
      <c r="E24" s="1164">
        <f t="shared" si="6"/>
        <v>26401.1</v>
      </c>
      <c r="F24" s="1285"/>
      <c r="G24" s="1224"/>
      <c r="H24" s="2070"/>
      <c r="I24" s="1326" t="s">
        <v>1087</v>
      </c>
      <c r="J24" s="457">
        <f>G_EBE1</f>
        <v>792033</v>
      </c>
      <c r="K24" s="457">
        <f>Sal!D10</f>
        <v>30</v>
      </c>
      <c r="L24" s="464">
        <f t="shared" si="9"/>
        <v>26401.1</v>
      </c>
      <c r="M24" s="276">
        <f>IF(L24="","",L24/12)</f>
        <v>2200.0916666666667</v>
      </c>
      <c r="N24" s="67"/>
      <c r="O24" s="504"/>
      <c r="P24" s="704"/>
      <c r="Q24" s="704"/>
      <c r="R24" s="704"/>
      <c r="S24" s="705"/>
    </row>
    <row r="25" spans="1:19" ht="12.75" customHeight="1">
      <c r="A25" s="298" t="str">
        <f t="shared" si="5"/>
        <v>Part de la CAF / VA</v>
      </c>
      <c r="B25" s="1263"/>
      <c r="C25" s="1349">
        <f t="shared" si="7"/>
        <v>405046</v>
      </c>
      <c r="D25" s="1318">
        <f t="shared" si="8"/>
        <v>5124355</v>
      </c>
      <c r="E25" s="1269">
        <f t="shared" si="6"/>
        <v>0.07904331374387606</v>
      </c>
      <c r="F25" s="299"/>
      <c r="G25" s="1224"/>
      <c r="H25" s="2070"/>
      <c r="I25" s="1324" t="s">
        <v>153</v>
      </c>
      <c r="J25" s="459">
        <f>G_CAF1</f>
        <v>405046</v>
      </c>
      <c r="K25" s="459">
        <f>K29</f>
        <v>5124355</v>
      </c>
      <c r="L25" s="1232">
        <f>IF(K25=0,"",J25/K25)</f>
        <v>0.07904331374387606</v>
      </c>
      <c r="M25" s="461"/>
      <c r="N25" s="46"/>
      <c r="O25" s="504"/>
      <c r="P25" s="704"/>
      <c r="Q25" s="704"/>
      <c r="R25" s="704"/>
      <c r="S25" s="705"/>
    </row>
    <row r="26" spans="1:19" ht="12.75" customHeight="1">
      <c r="A26" s="298" t="str">
        <f t="shared" si="5"/>
        <v>Part de la CAF / CA</v>
      </c>
      <c r="B26" s="1223"/>
      <c r="C26" s="1343">
        <f t="shared" si="7"/>
        <v>405046</v>
      </c>
      <c r="D26" s="1312">
        <f t="shared" si="8"/>
        <v>9238580</v>
      </c>
      <c r="E26" s="463">
        <f t="shared" si="6"/>
        <v>0.04384288494552193</v>
      </c>
      <c r="F26" s="1285"/>
      <c r="G26" s="1224"/>
      <c r="H26" s="2070"/>
      <c r="I26" s="298" t="s">
        <v>154</v>
      </c>
      <c r="J26" s="457">
        <f>G_CAF1</f>
        <v>405046</v>
      </c>
      <c r="K26" s="457">
        <f>G_CA1</f>
        <v>9238580</v>
      </c>
      <c r="L26" s="697">
        <f>IF(K26=0,"",J26/K26)</f>
        <v>0.04384288494552193</v>
      </c>
      <c r="M26" s="14"/>
      <c r="N26" s="46"/>
      <c r="O26" s="504"/>
      <c r="P26" s="704"/>
      <c r="Q26" s="704"/>
      <c r="R26" s="704"/>
      <c r="S26" s="705"/>
    </row>
    <row r="27" spans="1:19" ht="12.75" customHeight="1">
      <c r="A27" s="298" t="str">
        <f t="shared" si="5"/>
        <v>Part de la  CAF / Marges</v>
      </c>
      <c r="B27" s="18"/>
      <c r="C27" s="1348">
        <f t="shared" si="7"/>
        <v>405046</v>
      </c>
      <c r="D27" s="1314">
        <f t="shared" si="8"/>
        <v>0</v>
      </c>
      <c r="E27" s="465">
        <f t="shared" si="6"/>
      </c>
      <c r="F27" s="1221"/>
      <c r="G27" s="1224"/>
      <c r="H27" s="2070"/>
      <c r="I27" s="1326" t="s">
        <v>194</v>
      </c>
      <c r="J27" s="460">
        <f>G_CAF1</f>
        <v>405046</v>
      </c>
      <c r="K27" s="460">
        <f>MargeCom</f>
        <v>0</v>
      </c>
      <c r="L27" s="1231">
        <f>IF(K27=0,"",J27/K27)</f>
      </c>
      <c r="M27" s="24"/>
      <c r="N27" s="46"/>
      <c r="O27" s="504"/>
      <c r="P27" s="704"/>
      <c r="Q27" s="704"/>
      <c r="R27" s="704"/>
      <c r="S27" s="705"/>
    </row>
    <row r="28" spans="1:19" ht="12.75" customHeight="1">
      <c r="A28" s="298" t="str">
        <f t="shared" si="5"/>
        <v>Part de l'EBE dans la VA</v>
      </c>
      <c r="B28" s="1282"/>
      <c r="C28" s="1350">
        <f t="shared" si="7"/>
        <v>792033</v>
      </c>
      <c r="D28" s="1319">
        <f t="shared" si="8"/>
        <v>5124355</v>
      </c>
      <c r="E28" s="1306">
        <f t="shared" si="6"/>
        <v>0.15456247664340195</v>
      </c>
      <c r="F28" s="1285"/>
      <c r="G28" s="1224"/>
      <c r="H28" s="2070"/>
      <c r="I28" s="1332" t="s">
        <v>23</v>
      </c>
      <c r="J28" s="457">
        <f>G_EBE1</f>
        <v>792033</v>
      </c>
      <c r="K28" s="457">
        <f>J18</f>
        <v>5124355</v>
      </c>
      <c r="L28" s="463">
        <f t="shared" si="9"/>
        <v>0.15456247664340195</v>
      </c>
      <c r="M28" s="23"/>
      <c r="N28" s="67"/>
      <c r="O28" s="504"/>
      <c r="P28" s="704"/>
      <c r="Q28" s="704"/>
      <c r="R28" s="704"/>
      <c r="S28" s="705"/>
    </row>
    <row r="29" spans="1:19" ht="12.75" customHeight="1">
      <c r="A29" s="1367" t="str">
        <f t="shared" si="5"/>
        <v>Part de l'Etat dans la VA = Imposition totale / VA</v>
      </c>
      <c r="B29" s="1272"/>
      <c r="C29" s="1351">
        <f aca="true" t="shared" si="10" ref="C29:C56">IF(B29="x"," ",J29)</f>
        <v>2514045.58</v>
      </c>
      <c r="D29" s="1320">
        <f aca="true" t="shared" si="11" ref="D29:D56">IF(B29="x"," ",K29)</f>
        <v>5124355</v>
      </c>
      <c r="E29" s="1307">
        <f aca="true" t="shared" si="12" ref="E29:E56">IF(B29="x"," ",L29)</f>
        <v>0.4906072237384022</v>
      </c>
      <c r="F29" s="1290"/>
      <c r="G29" s="1375"/>
      <c r="H29" s="2070"/>
      <c r="I29" s="1333" t="s">
        <v>123</v>
      </c>
      <c r="J29" s="1228">
        <f>Tax!D14</f>
        <v>2514045.58</v>
      </c>
      <c r="K29" s="1228">
        <f>K28</f>
        <v>5124355</v>
      </c>
      <c r="L29" s="1230">
        <f t="shared" si="9"/>
        <v>0.4906072237384022</v>
      </c>
      <c r="M29" s="1233"/>
      <c r="N29" s="46"/>
      <c r="O29" s="504"/>
      <c r="P29" s="704"/>
      <c r="Q29" s="704"/>
      <c r="R29" s="704"/>
      <c r="S29" s="705"/>
    </row>
    <row r="30" spans="1:19" ht="12.75" customHeight="1">
      <c r="A30" s="1374" t="str">
        <f t="shared" si="5"/>
        <v>Part de l'Etat dans la VA = Impots &amp; taxes / VA</v>
      </c>
      <c r="B30" s="1273"/>
      <c r="C30" s="1352">
        <f t="shared" si="10"/>
        <v>305837</v>
      </c>
      <c r="D30" s="1321">
        <f t="shared" si="11"/>
        <v>792033</v>
      </c>
      <c r="E30" s="1308">
        <f t="shared" si="12"/>
        <v>0.38614173904370147</v>
      </c>
      <c r="F30" s="1291"/>
      <c r="G30" s="1376"/>
      <c r="H30" s="2070"/>
      <c r="I30" s="1334" t="s">
        <v>124</v>
      </c>
      <c r="J30" s="458">
        <f>Impot_Taxe_Versmt</f>
        <v>305837</v>
      </c>
      <c r="K30" s="458">
        <f>G_EBE1</f>
        <v>792033</v>
      </c>
      <c r="L30" s="1229">
        <f>IF(K30=0,"",J30/K30)</f>
        <v>0.38614173904370147</v>
      </c>
      <c r="M30" s="1234"/>
      <c r="N30" s="46"/>
      <c r="O30" s="504"/>
      <c r="P30" s="704"/>
      <c r="Q30" s="704"/>
      <c r="R30" s="704"/>
      <c r="S30" s="705"/>
    </row>
    <row r="31" spans="1:19" ht="12.75" customHeight="1">
      <c r="A31" s="1355" t="str">
        <f t="shared" si="5"/>
        <v>Charge de personnel / VA</v>
      </c>
      <c r="B31" s="1263"/>
      <c r="C31" s="1349">
        <f t="shared" si="10"/>
        <v>4026485</v>
      </c>
      <c r="D31" s="1318">
        <f t="shared" si="11"/>
        <v>5124355</v>
      </c>
      <c r="E31" s="1232">
        <f t="shared" si="12"/>
        <v>0.7857544998346133</v>
      </c>
      <c r="F31" s="299"/>
      <c r="G31" s="369"/>
      <c r="H31" s="2070"/>
      <c r="I31" s="1324" t="s">
        <v>976</v>
      </c>
      <c r="J31" s="457">
        <f>CP</f>
        <v>4026485</v>
      </c>
      <c r="K31" s="457">
        <f>K33</f>
        <v>5124355</v>
      </c>
      <c r="L31" s="697">
        <f>IF(K31=0,"",(J31/K31))</f>
        <v>0.7857544998346133</v>
      </c>
      <c r="M31" s="1235"/>
      <c r="N31" s="46"/>
      <c r="O31" s="504"/>
      <c r="P31" s="704"/>
      <c r="Q31" s="704"/>
      <c r="R31" s="704"/>
      <c r="S31" s="705"/>
    </row>
    <row r="32" spans="1:19" ht="12.75" customHeight="1">
      <c r="A32" s="1356" t="str">
        <f t="shared" si="5"/>
        <v>Bénéfice / VA</v>
      </c>
      <c r="B32" s="1223"/>
      <c r="C32" s="1343">
        <f t="shared" si="10"/>
        <v>0</v>
      </c>
      <c r="D32" s="1312">
        <f t="shared" si="11"/>
        <v>0</v>
      </c>
      <c r="E32" s="697">
        <f t="shared" si="12"/>
        <v>0</v>
      </c>
      <c r="F32" s="1285"/>
      <c r="G32" s="1224"/>
      <c r="H32" s="2070"/>
      <c r="I32" s="298" t="s">
        <v>621</v>
      </c>
      <c r="J32" s="457"/>
      <c r="K32" s="457"/>
      <c r="L32" s="697"/>
      <c r="M32" s="1235"/>
      <c r="N32" s="46"/>
      <c r="O32" s="504"/>
      <c r="P32" s="704"/>
      <c r="Q32" s="704"/>
      <c r="R32" s="704"/>
      <c r="S32" s="705"/>
    </row>
    <row r="33" spans="1:19" ht="12.75" customHeight="1">
      <c r="A33" s="1357" t="str">
        <f t="shared" si="5"/>
        <v>Salaire / VA</v>
      </c>
      <c r="B33" s="18"/>
      <c r="C33" s="1348">
        <f t="shared" si="10"/>
        <v>2822650</v>
      </c>
      <c r="D33" s="1314">
        <f t="shared" si="11"/>
        <v>5124355</v>
      </c>
      <c r="E33" s="1231">
        <f t="shared" si="12"/>
        <v>0.5508302996181959</v>
      </c>
      <c r="F33" s="1221"/>
      <c r="G33" s="1225"/>
      <c r="H33" s="2070"/>
      <c r="I33" s="1326" t="s">
        <v>134</v>
      </c>
      <c r="J33" s="460">
        <f>SIG0!H22</f>
        <v>2822650</v>
      </c>
      <c r="K33" s="460">
        <f>VA</f>
        <v>5124355</v>
      </c>
      <c r="L33" s="1231">
        <f>IF(K33=0,"",(J33/K33))</f>
        <v>0.5508302996181959</v>
      </c>
      <c r="M33" s="1236">
        <f>IF(L33="","",L33/12)</f>
        <v>0.045902524968182985</v>
      </c>
      <c r="N33" s="46"/>
      <c r="O33" s="504"/>
      <c r="P33" s="704"/>
      <c r="Q33" s="704"/>
      <c r="R33" s="704"/>
      <c r="S33" s="705"/>
    </row>
    <row r="34" spans="1:19" ht="12.75" customHeight="1">
      <c r="A34" s="1355" t="str">
        <f t="shared" si="5"/>
        <v>Evolution du salaire moyen = (S n - Sn-1) / Sn</v>
      </c>
      <c r="B34" s="1263"/>
      <c r="C34" s="1349">
        <f t="shared" si="10"/>
        <v>2822650</v>
      </c>
      <c r="D34" s="1318">
        <f t="shared" si="11"/>
        <v>0</v>
      </c>
      <c r="E34" s="1269">
        <f t="shared" si="12"/>
      </c>
      <c r="F34" s="1269">
        <f aca="true" t="shared" si="13" ref="F34:F43">IF(C34="x"," ",M34)</f>
        <v>0</v>
      </c>
      <c r="G34" s="369"/>
      <c r="H34" s="2070"/>
      <c r="I34" s="1324" t="s">
        <v>612</v>
      </c>
      <c r="J34" s="457">
        <f>J37</f>
        <v>2822650</v>
      </c>
      <c r="K34" s="457"/>
      <c r="L34" s="463">
        <f aca="true" t="shared" si="14" ref="L34:L40">IF(OR(B34="x",K34=0),"",(J34-K34)/K34)</f>
      </c>
      <c r="M34" s="276"/>
      <c r="N34" s="1227"/>
      <c r="O34" s="504"/>
      <c r="P34" s="704"/>
      <c r="Q34" s="704"/>
      <c r="R34" s="704"/>
      <c r="S34" s="705"/>
    </row>
    <row r="35" spans="1:19" ht="12.75" customHeight="1">
      <c r="A35" s="1356" t="str">
        <f t="shared" si="5"/>
        <v>Evolution de l'effectifs de l'entreprise (En − En−1)/ En−1</v>
      </c>
      <c r="B35" s="1223"/>
      <c r="C35" s="1343">
        <f t="shared" si="10"/>
        <v>30</v>
      </c>
      <c r="D35" s="1312">
        <f t="shared" si="11"/>
        <v>28</v>
      </c>
      <c r="E35" s="463">
        <f t="shared" si="12"/>
        <v>0.07142857142857142</v>
      </c>
      <c r="F35" s="463">
        <f t="shared" si="13"/>
        <v>0</v>
      </c>
      <c r="G35" s="1224"/>
      <c r="H35" s="2070"/>
      <c r="I35" s="298" t="s">
        <v>624</v>
      </c>
      <c r="J35" s="457">
        <f>K40</f>
        <v>30</v>
      </c>
      <c r="K35" s="457">
        <v>28</v>
      </c>
      <c r="L35" s="463">
        <f t="shared" si="14"/>
        <v>0.07142857142857142</v>
      </c>
      <c r="M35" s="276"/>
      <c r="N35" s="1227"/>
      <c r="O35" s="504"/>
      <c r="P35" s="704"/>
      <c r="Q35" s="704"/>
      <c r="R35" s="704"/>
      <c r="S35" s="705"/>
    </row>
    <row r="36" spans="1:19" ht="12.75" customHeight="1">
      <c r="A36" s="1357" t="str">
        <f t="shared" si="5"/>
        <v>Evolution des charges sociales (CS n − CS n-1) / CS n−1</v>
      </c>
      <c r="B36" s="18"/>
      <c r="C36" s="1348">
        <f t="shared" si="10"/>
        <v>1203835</v>
      </c>
      <c r="D36" s="1314">
        <f t="shared" si="11"/>
        <v>0</v>
      </c>
      <c r="E36" s="465">
        <f t="shared" si="12"/>
      </c>
      <c r="F36" s="465">
        <f t="shared" si="13"/>
        <v>0</v>
      </c>
      <c r="G36" s="1225"/>
      <c r="H36" s="2070"/>
      <c r="I36" s="298" t="s">
        <v>628</v>
      </c>
      <c r="J36" s="457">
        <f>G_ChgesSociales</f>
        <v>1203835</v>
      </c>
      <c r="K36" s="457"/>
      <c r="L36" s="463">
        <f t="shared" si="14"/>
      </c>
      <c r="M36" s="276"/>
      <c r="N36" s="1227"/>
      <c r="O36" s="504"/>
      <c r="P36" s="704"/>
      <c r="Q36" s="704"/>
      <c r="R36" s="704"/>
      <c r="S36" s="705"/>
    </row>
    <row r="37" spans="1:19" ht="12.75" customHeight="1">
      <c r="A37" s="298" t="str">
        <f t="shared" si="5"/>
        <v>Salaire moyen</v>
      </c>
      <c r="B37" s="1223"/>
      <c r="C37" s="1343">
        <f t="shared" si="10"/>
        <v>2822650</v>
      </c>
      <c r="D37" s="1312">
        <f t="shared" si="11"/>
        <v>30</v>
      </c>
      <c r="E37" s="464">
        <f t="shared" si="12"/>
        <v>94087.33333333333</v>
      </c>
      <c r="F37" s="464">
        <f t="shared" si="13"/>
        <v>7840.61111111111</v>
      </c>
      <c r="G37" s="1224"/>
      <c r="H37" s="2070"/>
      <c r="I37" s="298" t="s">
        <v>83</v>
      </c>
      <c r="J37" s="457">
        <f>Sal!B10</f>
        <v>2822650</v>
      </c>
      <c r="K37" s="457">
        <f>K49</f>
        <v>30</v>
      </c>
      <c r="L37" s="464">
        <f t="shared" si="14"/>
        <v>94087.33333333333</v>
      </c>
      <c r="M37" s="276">
        <f>IF(L37="","",L37/12)</f>
        <v>7840.61111111111</v>
      </c>
      <c r="N37" s="1227"/>
      <c r="O37" s="504"/>
      <c r="P37" s="704"/>
      <c r="Q37" s="704"/>
      <c r="R37" s="704"/>
      <c r="S37" s="705"/>
    </row>
    <row r="38" spans="1:19" ht="12.75" customHeight="1">
      <c r="A38" s="298" t="str">
        <f t="shared" si="5"/>
        <v>Salaire horaire my = Salaire mensuel my / nb heure my</v>
      </c>
      <c r="B38" s="1223"/>
      <c r="C38" s="1343">
        <f t="shared" si="10"/>
        <v>7840.61111111111</v>
      </c>
      <c r="D38" s="1312">
        <f t="shared" si="11"/>
        <v>151.67</v>
      </c>
      <c r="E38" s="464">
        <f t="shared" si="12"/>
        <v>50.695200838076815</v>
      </c>
      <c r="F38" s="464">
        <f t="shared" si="13"/>
        <v>0</v>
      </c>
      <c r="G38" s="1224"/>
      <c r="H38" s="2070"/>
      <c r="I38" s="298" t="s">
        <v>625</v>
      </c>
      <c r="J38" s="457">
        <f>M37</f>
        <v>7840.61111111111</v>
      </c>
      <c r="K38" s="457">
        <f>Sal!B63</f>
        <v>151.67</v>
      </c>
      <c r="L38" s="464">
        <f t="shared" si="14"/>
        <v>50.695200838076815</v>
      </c>
      <c r="M38" s="276"/>
      <c r="N38" s="1227"/>
      <c r="O38" s="504"/>
      <c r="P38" s="704"/>
      <c r="Q38" s="704"/>
      <c r="R38" s="704"/>
      <c r="S38" s="705"/>
    </row>
    <row r="39" spans="1:19" ht="12.75" customHeight="1">
      <c r="A39" s="298" t="str">
        <f t="shared" si="5"/>
        <v>Charges sociale moyenne</v>
      </c>
      <c r="B39" s="1223"/>
      <c r="C39" s="1343">
        <f t="shared" si="10"/>
        <v>1203835</v>
      </c>
      <c r="D39" s="1312">
        <f t="shared" si="11"/>
        <v>30</v>
      </c>
      <c r="E39" s="464">
        <f t="shared" si="12"/>
        <v>40126.833333333336</v>
      </c>
      <c r="F39" s="464">
        <f t="shared" si="13"/>
        <v>3343.902777777778</v>
      </c>
      <c r="G39" s="1224"/>
      <c r="H39" s="2070"/>
      <c r="I39" s="298" t="s">
        <v>155</v>
      </c>
      <c r="J39" s="457">
        <f>G_ChgesSociales</f>
        <v>1203835</v>
      </c>
      <c r="K39" s="457">
        <f>K37</f>
        <v>30</v>
      </c>
      <c r="L39" s="464">
        <f t="shared" si="14"/>
        <v>40126.833333333336</v>
      </c>
      <c r="M39" s="276">
        <f>IF(L39="","",L39/12)</f>
        <v>3343.902777777778</v>
      </c>
      <c r="N39" s="1227"/>
      <c r="O39" s="504"/>
      <c r="P39" s="704"/>
      <c r="Q39" s="704"/>
      <c r="R39" s="704"/>
      <c r="S39" s="705"/>
    </row>
    <row r="40" spans="1:19" ht="12.75" customHeight="1">
      <c r="A40" s="298" t="str">
        <f t="shared" si="5"/>
        <v>Charges de personnel moyenne</v>
      </c>
      <c r="B40" s="1223"/>
      <c r="C40" s="1343">
        <f t="shared" si="10"/>
        <v>4026485</v>
      </c>
      <c r="D40" s="1312">
        <f t="shared" si="11"/>
        <v>30</v>
      </c>
      <c r="E40" s="464">
        <f t="shared" si="12"/>
        <v>134215.16666666666</v>
      </c>
      <c r="F40" s="464">
        <f t="shared" si="13"/>
        <v>11184.59722222222</v>
      </c>
      <c r="G40" s="1224"/>
      <c r="H40" s="2070"/>
      <c r="I40" s="298" t="s">
        <v>156</v>
      </c>
      <c r="J40" s="457">
        <f>G_ChgePersonnel</f>
        <v>4026485</v>
      </c>
      <c r="K40" s="457">
        <f>K37</f>
        <v>30</v>
      </c>
      <c r="L40" s="464">
        <f t="shared" si="14"/>
        <v>134215.16666666666</v>
      </c>
      <c r="M40" s="276">
        <f>IF(L40="","",L40/12)</f>
        <v>11184.59722222222</v>
      </c>
      <c r="N40" s="1227"/>
      <c r="O40" s="504"/>
      <c r="P40" s="704"/>
      <c r="Q40" s="704"/>
      <c r="R40" s="704"/>
      <c r="S40" s="705"/>
    </row>
    <row r="41" spans="1:19" ht="12.75" customHeight="1">
      <c r="A41" s="298" t="str">
        <f t="shared" si="5"/>
        <v>Evolution des charges sociale  </v>
      </c>
      <c r="B41" s="1223"/>
      <c r="C41" s="1343">
        <f t="shared" si="10"/>
        <v>4026485</v>
      </c>
      <c r="D41" s="1312">
        <f t="shared" si="11"/>
        <v>0</v>
      </c>
      <c r="E41" s="464">
        <f t="shared" si="12"/>
        <v>0</v>
      </c>
      <c r="F41" s="463">
        <f t="shared" si="13"/>
        <v>0</v>
      </c>
      <c r="G41" s="1224"/>
      <c r="H41" s="2070"/>
      <c r="I41" s="298" t="s">
        <v>972</v>
      </c>
      <c r="J41" s="457">
        <f>J40</f>
        <v>4026485</v>
      </c>
      <c r="K41" s="457"/>
      <c r="L41" s="464"/>
      <c r="M41" s="276"/>
      <c r="N41" s="1227"/>
      <c r="O41" s="504"/>
      <c r="P41" s="704"/>
      <c r="Q41" s="704"/>
      <c r="R41" s="704"/>
      <c r="S41" s="705"/>
    </row>
    <row r="42" spans="1:19" ht="12.75" customHeight="1">
      <c r="A42" s="298" t="str">
        <f t="shared" si="5"/>
        <v>Part des charges sociale moy / Charge personnel =</v>
      </c>
      <c r="B42" s="1223"/>
      <c r="C42" s="1343">
        <f t="shared" si="10"/>
        <v>1203835</v>
      </c>
      <c r="D42" s="1312">
        <f t="shared" si="11"/>
        <v>4026485</v>
      </c>
      <c r="E42" s="463">
        <f t="shared" si="12"/>
        <v>0.2989791344063122</v>
      </c>
      <c r="F42" s="463" t="str">
        <f t="shared" si="13"/>
        <v>D mensuel</v>
      </c>
      <c r="G42" s="1224"/>
      <c r="H42" s="2070"/>
      <c r="I42" s="298" t="s">
        <v>978</v>
      </c>
      <c r="J42" s="457">
        <f>J39</f>
        <v>1203835</v>
      </c>
      <c r="K42" s="457">
        <f>K43</f>
        <v>4026485</v>
      </c>
      <c r="L42" s="463">
        <f>IF(OR(B42="x",K42=0),"",J42/K42)</f>
        <v>0.2989791344063122</v>
      </c>
      <c r="M42" s="464" t="s">
        <v>193</v>
      </c>
      <c r="N42" s="1227"/>
      <c r="O42" s="504"/>
      <c r="P42" s="704"/>
      <c r="Q42" s="704"/>
      <c r="R42" s="704"/>
      <c r="S42" s="705"/>
    </row>
    <row r="43" spans="1:19" ht="12.75" customHeight="1">
      <c r="A43" s="298" t="str">
        <f t="shared" si="5"/>
        <v>Part du salaire moyen</v>
      </c>
      <c r="B43" s="1223"/>
      <c r="C43" s="1343">
        <f t="shared" si="10"/>
        <v>2822650</v>
      </c>
      <c r="D43" s="1312">
        <f t="shared" si="11"/>
        <v>4026485</v>
      </c>
      <c r="E43" s="463">
        <f t="shared" si="12"/>
        <v>0.7010208655936878</v>
      </c>
      <c r="F43" s="463">
        <f t="shared" si="13"/>
        <v>0.058418405466140653</v>
      </c>
      <c r="G43" s="1224"/>
      <c r="H43" s="2070"/>
      <c r="I43" s="298" t="s">
        <v>151</v>
      </c>
      <c r="J43" s="457">
        <f>J37</f>
        <v>2822650</v>
      </c>
      <c r="K43" s="457">
        <f>J40</f>
        <v>4026485</v>
      </c>
      <c r="L43" s="463">
        <f>IF(K43=0,"",J43/K43)</f>
        <v>0.7010208655936878</v>
      </c>
      <c r="M43" s="276">
        <f>IF(L43="","",L43/12)</f>
        <v>0.058418405466140653</v>
      </c>
      <c r="N43" s="1227"/>
      <c r="O43" s="504"/>
      <c r="P43" s="704"/>
      <c r="Q43" s="704"/>
      <c r="R43" s="704"/>
      <c r="S43" s="705"/>
    </row>
    <row r="44" spans="1:19" ht="12.75" customHeight="1">
      <c r="A44" s="298" t="str">
        <f t="shared" si="5"/>
        <v>Salaire moyen / ( PNB / habitant du pays )</v>
      </c>
      <c r="B44" s="1223"/>
      <c r="C44" s="1343">
        <f t="shared" si="10"/>
        <v>94087.33333333333</v>
      </c>
      <c r="D44" s="1312">
        <f t="shared" si="11"/>
        <v>23856</v>
      </c>
      <c r="E44" s="446">
        <f t="shared" si="12"/>
        <v>3.943969371786273</v>
      </c>
      <c r="F44" s="463"/>
      <c r="G44" s="1224"/>
      <c r="H44" s="2070"/>
      <c r="I44" s="298" t="s">
        <v>159</v>
      </c>
      <c r="J44" s="457">
        <f>L37</f>
        <v>94087.33333333333</v>
      </c>
      <c r="K44" s="457">
        <f>Sal!B67</f>
        <v>23856</v>
      </c>
      <c r="L44" s="446">
        <f>IF(OR(K44=0,J44=""),"",J44/K44)</f>
        <v>3.943969371786273</v>
      </c>
      <c r="M44" s="276">
        <f>K44/12</f>
        <v>1988</v>
      </c>
      <c r="N44" s="1227"/>
      <c r="O44" s="504"/>
      <c r="P44" s="704"/>
      <c r="Q44" s="704"/>
      <c r="R44" s="704"/>
      <c r="S44" s="705"/>
    </row>
    <row r="45" spans="1:19" ht="12.75" customHeight="1">
      <c r="A45" s="298" t="str">
        <f t="shared" si="5"/>
        <v>Salaire moyen / ( PNB / habitant des etats de la sté )</v>
      </c>
      <c r="B45" s="1223"/>
      <c r="C45" s="1343">
        <f t="shared" si="10"/>
        <v>94087.33333333333</v>
      </c>
      <c r="D45" s="1312">
        <f t="shared" si="11"/>
        <v>23856</v>
      </c>
      <c r="E45" s="446">
        <f t="shared" si="12"/>
        <v>3.943969371786273</v>
      </c>
      <c r="F45" s="463"/>
      <c r="G45" s="1224"/>
      <c r="H45" s="2070"/>
      <c r="I45" s="298" t="s">
        <v>160</v>
      </c>
      <c r="J45" s="457">
        <f>J44</f>
        <v>94087.33333333333</v>
      </c>
      <c r="K45" s="457">
        <f>Sal!B68</f>
        <v>23856</v>
      </c>
      <c r="L45" s="446">
        <f>IF(OR(K45=0,J45=""),"",J45/K45)</f>
        <v>3.943969371786273</v>
      </c>
      <c r="M45" s="276">
        <f>K45/12</f>
        <v>1988</v>
      </c>
      <c r="N45" s="1227"/>
      <c r="O45" s="504"/>
      <c r="P45" s="704"/>
      <c r="Q45" s="704"/>
      <c r="R45" s="704"/>
      <c r="S45" s="705"/>
    </row>
    <row r="46" spans="1:19" ht="12.75" customHeight="1">
      <c r="A46" s="298" t="str">
        <f t="shared" si="5"/>
        <v>Salaire moyen / PNB européens</v>
      </c>
      <c r="B46" s="1223"/>
      <c r="C46" s="1343"/>
      <c r="D46" s="1312">
        <f t="shared" si="11"/>
        <v>0</v>
      </c>
      <c r="E46" s="446">
        <f t="shared" si="12"/>
        <v>0</v>
      </c>
      <c r="F46" s="463">
        <f aca="true" t="shared" si="15" ref="F46:F56">IF(C46="x"," ",M46)</f>
        <v>0</v>
      </c>
      <c r="G46" s="1224"/>
      <c r="H46" s="2070"/>
      <c r="I46" s="298" t="s">
        <v>626</v>
      </c>
      <c r="J46" s="457">
        <f>J45</f>
        <v>94087.33333333333</v>
      </c>
      <c r="K46" s="457"/>
      <c r="L46" s="446"/>
      <c r="M46" s="276"/>
      <c r="N46" s="1227"/>
      <c r="O46" s="504"/>
      <c r="P46" s="704"/>
      <c r="Q46" s="704"/>
      <c r="R46" s="704"/>
      <c r="S46" s="705"/>
    </row>
    <row r="47" spans="1:19" ht="12.75" customHeight="1">
      <c r="A47" s="298" t="str">
        <f t="shared" si="5"/>
        <v>Salaire moyen / PNB des américain</v>
      </c>
      <c r="B47" s="1223"/>
      <c r="C47" s="1343"/>
      <c r="D47" s="1312">
        <f t="shared" si="11"/>
        <v>0</v>
      </c>
      <c r="E47" s="446">
        <f t="shared" si="12"/>
        <v>0</v>
      </c>
      <c r="F47" s="463">
        <f t="shared" si="15"/>
        <v>0</v>
      </c>
      <c r="G47" s="1224"/>
      <c r="H47" s="2070"/>
      <c r="I47" s="298" t="s">
        <v>627</v>
      </c>
      <c r="J47" s="457">
        <f>J46</f>
        <v>94087.33333333333</v>
      </c>
      <c r="K47" s="457"/>
      <c r="L47" s="446"/>
      <c r="M47" s="276"/>
      <c r="N47" s="1227"/>
      <c r="O47" s="504"/>
      <c r="P47" s="704"/>
      <c r="Q47" s="704"/>
      <c r="R47" s="704"/>
      <c r="S47" s="705"/>
    </row>
    <row r="48" spans="1:19" ht="12.75" customHeight="1">
      <c r="A48" s="298" t="str">
        <f t="shared" si="5"/>
        <v>Salaire moyen / PNB mondiale</v>
      </c>
      <c r="B48" s="1223"/>
      <c r="C48" s="1343"/>
      <c r="D48" s="1312">
        <f t="shared" si="11"/>
        <v>0</v>
      </c>
      <c r="E48" s="446">
        <f t="shared" si="12"/>
      </c>
      <c r="F48" s="463">
        <f t="shared" si="15"/>
      </c>
      <c r="G48" s="1224"/>
      <c r="H48" s="2070"/>
      <c r="I48" s="1326" t="s">
        <v>161</v>
      </c>
      <c r="J48" s="460">
        <f>J45</f>
        <v>94087.33333333333</v>
      </c>
      <c r="K48" s="460">
        <f>Sal!B69</f>
        <v>0</v>
      </c>
      <c r="L48" s="445">
        <f>IF(OR(K48=0,J48=""),"",J48/K48)</f>
      </c>
      <c r="M48" s="1162">
        <f>IF(L48="","",L48/12)</f>
      </c>
      <c r="N48" s="1227"/>
      <c r="O48" s="504"/>
      <c r="P48" s="704"/>
      <c r="Q48" s="704"/>
      <c r="R48" s="704"/>
      <c r="S48" s="705"/>
    </row>
    <row r="49" spans="1:19" ht="12.75" customHeight="1">
      <c r="A49" s="1355" t="str">
        <f t="shared" si="5"/>
        <v>VA / Salarié</v>
      </c>
      <c r="B49" s="1263"/>
      <c r="C49" s="1349">
        <f t="shared" si="10"/>
        <v>5124355</v>
      </c>
      <c r="D49" s="1318">
        <f t="shared" si="11"/>
        <v>30</v>
      </c>
      <c r="E49" s="466">
        <f t="shared" si="12"/>
        <v>170810.83333333334</v>
      </c>
      <c r="F49" s="1269">
        <f t="shared" si="15"/>
        <v>14234.236111111111</v>
      </c>
      <c r="G49" s="369"/>
      <c r="H49" s="2070"/>
      <c r="I49" s="1324" t="s">
        <v>1090</v>
      </c>
      <c r="J49" s="457">
        <f>VA</f>
        <v>5124355</v>
      </c>
      <c r="K49" s="457">
        <f>K50</f>
        <v>30</v>
      </c>
      <c r="L49" s="464">
        <f>IF(OR(B49="x",K49=0),"",(J49-K49)/K49)</f>
        <v>170810.83333333334</v>
      </c>
      <c r="M49" s="276">
        <f>IF(L49="","",L49/12)</f>
        <v>14234.236111111111</v>
      </c>
      <c r="N49" s="46"/>
      <c r="O49" s="504"/>
      <c r="P49" s="704"/>
      <c r="Q49" s="704"/>
      <c r="R49" s="704"/>
      <c r="S49" s="705"/>
    </row>
    <row r="50" spans="1:19" ht="12.75" customHeight="1">
      <c r="A50" s="1356" t="str">
        <f t="shared" si="5"/>
        <v>CA / Salarié</v>
      </c>
      <c r="B50" s="1223"/>
      <c r="C50" s="1343">
        <f t="shared" si="10"/>
        <v>9238580</v>
      </c>
      <c r="D50" s="1312">
        <f t="shared" si="11"/>
        <v>30</v>
      </c>
      <c r="E50" s="464">
        <f t="shared" si="12"/>
        <v>307951.6666666667</v>
      </c>
      <c r="F50" s="463">
        <f t="shared" si="15"/>
        <v>25662.63888888889</v>
      </c>
      <c r="G50" s="1224"/>
      <c r="H50" s="2070"/>
      <c r="I50" s="298" t="s">
        <v>1089</v>
      </c>
      <c r="J50" s="457">
        <f>'R1'!I9</f>
        <v>9238580</v>
      </c>
      <c r="K50" s="457">
        <f>Sal!D11</f>
        <v>30</v>
      </c>
      <c r="L50" s="464">
        <f>IF(OR(B50="x",K50=0),"",(J50-K50)/K50)</f>
        <v>307951.6666666667</v>
      </c>
      <c r="M50" s="276">
        <f>IF(L50="","",L50/12)</f>
        <v>25662.63888888889</v>
      </c>
      <c r="N50" s="67"/>
      <c r="O50" s="504"/>
      <c r="P50" s="704"/>
      <c r="Q50" s="704"/>
      <c r="R50" s="704"/>
      <c r="S50" s="705"/>
    </row>
    <row r="51" spans="1:19" ht="12.75" customHeight="1">
      <c r="A51" s="1357" t="str">
        <f t="shared" si="5"/>
        <v>Achat de m/ses / Salarié</v>
      </c>
      <c r="B51" s="18"/>
      <c r="C51" s="1348">
        <f t="shared" si="10"/>
        <v>3753000</v>
      </c>
      <c r="D51" s="1314">
        <f t="shared" si="11"/>
        <v>30</v>
      </c>
      <c r="E51" s="1164">
        <f t="shared" si="12"/>
        <v>125099</v>
      </c>
      <c r="F51" s="465">
        <f t="shared" si="15"/>
        <v>10424.916666666666</v>
      </c>
      <c r="G51" s="1225"/>
      <c r="H51" s="2070"/>
      <c r="I51" s="1326" t="s">
        <v>152</v>
      </c>
      <c r="J51" s="457">
        <f>SIG0!H112</f>
        <v>3753000</v>
      </c>
      <c r="K51" s="457">
        <f>G_effectifs</f>
        <v>30</v>
      </c>
      <c r="L51" s="464">
        <f>IF(OR(B51="x",K51=0),"",(J51-K51)/K51)</f>
        <v>125099</v>
      </c>
      <c r="M51" s="276">
        <f>IF(L51="","",L51/12)</f>
        <v>10424.916666666666</v>
      </c>
      <c r="N51" s="67"/>
      <c r="O51" s="504"/>
      <c r="P51" s="704"/>
      <c r="Q51" s="704"/>
      <c r="R51" s="704"/>
      <c r="S51" s="705"/>
    </row>
    <row r="52" spans="1:19" s="8" customFormat="1" ht="12.75" customHeight="1">
      <c r="A52" s="298"/>
      <c r="B52" s="1223"/>
      <c r="C52" s="1300">
        <f t="shared" si="10"/>
        <v>0</v>
      </c>
      <c r="D52" s="1300">
        <f t="shared" si="11"/>
        <v>0</v>
      </c>
      <c r="E52" s="1361">
        <f t="shared" si="12"/>
        <v>0</v>
      </c>
      <c r="F52" s="1362">
        <f t="shared" si="15"/>
        <v>0</v>
      </c>
      <c r="G52" s="1224"/>
      <c r="H52" s="2070"/>
      <c r="I52" s="298"/>
      <c r="J52" s="459"/>
      <c r="K52" s="459"/>
      <c r="L52" s="466"/>
      <c r="M52" s="1163"/>
      <c r="N52" s="47"/>
      <c r="O52" s="504"/>
      <c r="P52" s="704"/>
      <c r="Q52" s="704"/>
      <c r="R52" s="704"/>
      <c r="S52" s="705"/>
    </row>
    <row r="53" spans="1:19" s="8" customFormat="1" ht="12.75" customHeight="1">
      <c r="A53" s="298"/>
      <c r="B53" s="1223"/>
      <c r="C53" s="1300">
        <f t="shared" si="10"/>
        <v>0</v>
      </c>
      <c r="D53" s="1300">
        <f t="shared" si="11"/>
        <v>0</v>
      </c>
      <c r="E53" s="1361">
        <f t="shared" si="12"/>
        <v>0</v>
      </c>
      <c r="F53" s="1362">
        <f t="shared" si="15"/>
        <v>0</v>
      </c>
      <c r="G53" s="1224"/>
      <c r="H53" s="2070"/>
      <c r="I53" s="298"/>
      <c r="J53" s="457"/>
      <c r="K53" s="457"/>
      <c r="L53" s="464"/>
      <c r="M53" s="276"/>
      <c r="N53" s="47"/>
      <c r="O53" s="504"/>
      <c r="P53" s="704"/>
      <c r="Q53" s="704"/>
      <c r="R53" s="704"/>
      <c r="S53" s="705"/>
    </row>
    <row r="54" spans="1:19" s="8" customFormat="1" ht="12.75" customHeight="1">
      <c r="A54" s="298"/>
      <c r="B54" s="1223"/>
      <c r="C54" s="1300">
        <f t="shared" si="10"/>
        <v>0</v>
      </c>
      <c r="D54" s="1300">
        <f t="shared" si="11"/>
        <v>0</v>
      </c>
      <c r="E54" s="1361">
        <f t="shared" si="12"/>
        <v>0</v>
      </c>
      <c r="F54" s="1362">
        <f t="shared" si="15"/>
        <v>0</v>
      </c>
      <c r="G54" s="1224"/>
      <c r="H54" s="2070"/>
      <c r="I54" s="298"/>
      <c r="J54" s="457"/>
      <c r="K54" s="457"/>
      <c r="L54" s="464"/>
      <c r="M54" s="276"/>
      <c r="N54" s="47"/>
      <c r="O54" s="504"/>
      <c r="P54" s="704"/>
      <c r="Q54" s="704"/>
      <c r="R54" s="704"/>
      <c r="S54" s="705"/>
    </row>
    <row r="55" spans="1:19" s="8" customFormat="1" ht="12.75" customHeight="1">
      <c r="A55" s="298"/>
      <c r="B55" s="1223"/>
      <c r="C55" s="1300">
        <f t="shared" si="10"/>
        <v>0</v>
      </c>
      <c r="D55" s="1300">
        <f t="shared" si="11"/>
        <v>0</v>
      </c>
      <c r="E55" s="1361">
        <f t="shared" si="12"/>
        <v>0</v>
      </c>
      <c r="F55" s="1362">
        <f t="shared" si="15"/>
        <v>0</v>
      </c>
      <c r="G55" s="1224"/>
      <c r="H55" s="2070"/>
      <c r="I55" s="298"/>
      <c r="J55" s="457"/>
      <c r="K55" s="457"/>
      <c r="L55" s="464"/>
      <c r="M55" s="276"/>
      <c r="N55" s="47"/>
      <c r="O55" s="504"/>
      <c r="P55" s="704"/>
      <c r="Q55" s="704"/>
      <c r="R55" s="704"/>
      <c r="S55" s="705"/>
    </row>
    <row r="56" spans="1:19" s="8" customFormat="1" ht="12.75" customHeight="1">
      <c r="A56" s="298"/>
      <c r="B56" s="1223"/>
      <c r="C56" s="1300">
        <f t="shared" si="10"/>
        <v>0</v>
      </c>
      <c r="D56" s="1300">
        <f t="shared" si="11"/>
        <v>0</v>
      </c>
      <c r="E56" s="1361">
        <f t="shared" si="12"/>
        <v>0</v>
      </c>
      <c r="F56" s="1362">
        <f t="shared" si="15"/>
        <v>0</v>
      </c>
      <c r="G56" s="1224"/>
      <c r="H56" s="2070"/>
      <c r="I56" s="1326"/>
      <c r="J56" s="457"/>
      <c r="K56" s="457"/>
      <c r="L56" s="464"/>
      <c r="M56" s="276"/>
      <c r="N56" s="47"/>
      <c r="O56" s="504"/>
      <c r="P56" s="704"/>
      <c r="Q56" s="704"/>
      <c r="R56" s="704"/>
      <c r="S56" s="705"/>
    </row>
    <row r="57" spans="1:19" s="8" customFormat="1" ht="12.75" customHeight="1">
      <c r="A57" s="1326"/>
      <c r="B57" s="18"/>
      <c r="C57" s="1299"/>
      <c r="D57" s="1299"/>
      <c r="E57" s="1363"/>
      <c r="F57" s="1377"/>
      <c r="G57" s="1224"/>
      <c r="H57" s="2070"/>
      <c r="I57" s="1326"/>
      <c r="J57" s="457"/>
      <c r="K57" s="457"/>
      <c r="L57" s="464"/>
      <c r="M57" s="276"/>
      <c r="N57" s="47"/>
      <c r="O57" s="504"/>
      <c r="P57" s="704"/>
      <c r="Q57" s="704"/>
      <c r="R57" s="704"/>
      <c r="S57" s="705"/>
    </row>
    <row r="58" spans="1:19" ht="12.75" customHeight="1">
      <c r="A58" s="2062" t="str">
        <f t="shared" si="5"/>
        <v>RATIOS D'ENDETTEMENTS</v>
      </c>
      <c r="B58" s="2063"/>
      <c r="C58" s="2063"/>
      <c r="D58" s="2063"/>
      <c r="E58" s="2063"/>
      <c r="F58" s="2064"/>
      <c r="G58" s="1359"/>
      <c r="H58" s="2070"/>
      <c r="I58" s="1335" t="s">
        <v>577</v>
      </c>
      <c r="J58" s="1267"/>
      <c r="K58" s="1267"/>
      <c r="L58" s="1268"/>
      <c r="M58" s="1239"/>
      <c r="N58" s="14"/>
      <c r="O58" s="504"/>
      <c r="P58" s="704"/>
      <c r="Q58" s="704"/>
      <c r="R58" s="704"/>
      <c r="S58" s="705"/>
    </row>
    <row r="59" spans="1:19" ht="12.75" customHeight="1">
      <c r="A59" s="298" t="str">
        <f t="shared" si="5"/>
        <v>Patrimoine immobilisé de l'entreprise</v>
      </c>
      <c r="B59" s="1222"/>
      <c r="C59" s="1301">
        <f aca="true" t="shared" si="16" ref="C59:C64">IF(B59="x"," ",J59)</f>
        <v>964030</v>
      </c>
      <c r="D59" s="1301">
        <f aca="true" t="shared" si="17" ref="D59:D64">IF(B59="x"," ",K59)</f>
        <v>0</v>
      </c>
      <c r="E59" s="1360">
        <f aca="true" t="shared" si="18" ref="E59:E64">IF(B59="x"," ",L59)</f>
      </c>
      <c r="F59" s="1224"/>
      <c r="G59" s="1285"/>
      <c r="H59" s="2070"/>
      <c r="I59" s="1336" t="s">
        <v>580</v>
      </c>
      <c r="J59" s="457">
        <f>DOC!C137</f>
        <v>964030</v>
      </c>
      <c r="K59" s="8"/>
      <c r="L59" s="463">
        <f aca="true" t="shared" si="19" ref="L59:L64">IF(OR(B59="x",K59=0),"",J59/K59)</f>
      </c>
      <c r="M59" s="14"/>
      <c r="N59" s="14"/>
      <c r="O59" s="504"/>
      <c r="P59" s="704"/>
      <c r="Q59" s="704"/>
      <c r="R59" s="704"/>
      <c r="S59" s="705"/>
    </row>
    <row r="60" spans="1:19" ht="12.75" customHeight="1">
      <c r="A60" s="298" t="str">
        <f t="shared" si="5"/>
        <v>Pourcentages des dettes / CA</v>
      </c>
      <c r="B60" s="1222"/>
      <c r="C60" s="1300">
        <f t="shared" si="16"/>
        <v>3896554</v>
      </c>
      <c r="D60" s="1300">
        <f t="shared" si="17"/>
        <v>9238580</v>
      </c>
      <c r="E60" s="1361">
        <f t="shared" si="18"/>
        <v>0.42176979579112805</v>
      </c>
      <c r="F60" s="1224"/>
      <c r="G60" s="1285"/>
      <c r="H60" s="2070"/>
      <c r="I60" s="1336" t="s">
        <v>552</v>
      </c>
      <c r="J60" s="457">
        <f>B!J47</f>
        <v>3896554</v>
      </c>
      <c r="K60" s="457">
        <f>K6</f>
        <v>9238580</v>
      </c>
      <c r="L60" s="463">
        <f t="shared" si="19"/>
        <v>0.42176979579112805</v>
      </c>
      <c r="M60" s="14"/>
      <c r="N60" s="14"/>
      <c r="O60" s="504"/>
      <c r="P60" s="704"/>
      <c r="Q60" s="704"/>
      <c r="R60" s="704"/>
      <c r="S60" s="705"/>
    </row>
    <row r="61" spans="1:19" ht="12.75" customHeight="1">
      <c r="A61" s="298" t="str">
        <f t="shared" si="5"/>
        <v>Pourcentage des dettes / VA</v>
      </c>
      <c r="B61" s="1222"/>
      <c r="C61" s="1300">
        <f t="shared" si="16"/>
        <v>3896554</v>
      </c>
      <c r="D61" s="1300">
        <f t="shared" si="17"/>
        <v>5124355</v>
      </c>
      <c r="E61" s="1361">
        <f t="shared" si="18"/>
        <v>0.7603989184980353</v>
      </c>
      <c r="F61" s="1224"/>
      <c r="G61" s="1285"/>
      <c r="H61" s="2070"/>
      <c r="I61" s="1336" t="s">
        <v>613</v>
      </c>
      <c r="J61" s="457">
        <f>J60</f>
        <v>3896554</v>
      </c>
      <c r="K61" s="457">
        <f>VA!E3</f>
        <v>5124355</v>
      </c>
      <c r="L61" s="463">
        <f t="shared" si="19"/>
        <v>0.7603989184980353</v>
      </c>
      <c r="M61" s="14"/>
      <c r="N61" s="14"/>
      <c r="O61" s="504"/>
      <c r="P61" s="704"/>
      <c r="Q61" s="704"/>
      <c r="R61" s="704"/>
      <c r="S61" s="705"/>
    </row>
    <row r="62" spans="1:19" ht="12.75" customHeight="1">
      <c r="A62" s="298" t="str">
        <f t="shared" si="5"/>
        <v>Pourcentages des dettes / Immobilisation</v>
      </c>
      <c r="B62" s="1222"/>
      <c r="C62" s="1300">
        <f t="shared" si="16"/>
        <v>3896554</v>
      </c>
      <c r="D62" s="1300">
        <f t="shared" si="17"/>
        <v>1165030</v>
      </c>
      <c r="E62" s="1361">
        <f t="shared" si="18"/>
        <v>3.3445954181437387</v>
      </c>
      <c r="F62" s="1224"/>
      <c r="G62" s="1285"/>
      <c r="H62" s="2070"/>
      <c r="I62" s="1336" t="s">
        <v>553</v>
      </c>
      <c r="J62" s="457">
        <f>J60</f>
        <v>3896554</v>
      </c>
      <c r="K62" s="457">
        <f>B!D31</f>
        <v>1165030</v>
      </c>
      <c r="L62" s="463">
        <f t="shared" si="19"/>
        <v>3.3445954181437387</v>
      </c>
      <c r="M62" s="14"/>
      <c r="N62" s="14"/>
      <c r="O62" s="504"/>
      <c r="P62" s="704"/>
      <c r="Q62" s="704"/>
      <c r="R62" s="704"/>
      <c r="S62" s="705"/>
    </row>
    <row r="63" spans="1:19" ht="12.75" customHeight="1">
      <c r="A63" s="298" t="str">
        <f t="shared" si="5"/>
        <v>Pourcentages des Dettes / ( Immo +Δ Stk + Clt + Trésorerie)</v>
      </c>
      <c r="B63" s="1222"/>
      <c r="C63" s="1300">
        <f t="shared" si="16"/>
        <v>3896554</v>
      </c>
      <c r="D63" s="1300">
        <f t="shared" si="17"/>
        <v>6240148</v>
      </c>
      <c r="E63" s="1361">
        <f t="shared" si="18"/>
        <v>0.624432946141662</v>
      </c>
      <c r="F63" s="1224"/>
      <c r="G63" s="1285"/>
      <c r="H63" s="2070"/>
      <c r="I63" s="1336" t="s">
        <v>589</v>
      </c>
      <c r="J63" s="457">
        <f>J62</f>
        <v>3896554</v>
      </c>
      <c r="K63" s="457">
        <f>DOC!C144</f>
        <v>6240148</v>
      </c>
      <c r="L63" s="463">
        <f t="shared" si="19"/>
        <v>0.624432946141662</v>
      </c>
      <c r="M63" s="14"/>
      <c r="N63" s="14"/>
      <c r="O63" s="504"/>
      <c r="P63" s="704"/>
      <c r="Q63" s="704"/>
      <c r="R63" s="704"/>
      <c r="S63" s="705"/>
    </row>
    <row r="64" spans="1:19" ht="12.75" customHeight="1">
      <c r="A64" s="298" t="str">
        <f t="shared" si="5"/>
        <v>Pourcentage des dette =                                                  Dette / (CA + Patrimoine Immo)</v>
      </c>
      <c r="B64" s="1222"/>
      <c r="C64" s="1299">
        <f t="shared" si="16"/>
        <v>3896554</v>
      </c>
      <c r="D64" s="1299">
        <f t="shared" si="17"/>
        <v>10202610</v>
      </c>
      <c r="E64" s="1363">
        <f t="shared" si="18"/>
        <v>0.38191737212340765</v>
      </c>
      <c r="F64" s="1224"/>
      <c r="G64" s="1285"/>
      <c r="H64" s="2070"/>
      <c r="I64" s="1337" t="s">
        <v>980</v>
      </c>
      <c r="J64" s="460">
        <f>J63</f>
        <v>3896554</v>
      </c>
      <c r="K64" s="460">
        <f>DOC!C138</f>
        <v>10202610</v>
      </c>
      <c r="L64" s="463">
        <f t="shared" si="19"/>
        <v>0.38191737212340765</v>
      </c>
      <c r="M64" s="24"/>
      <c r="N64" s="14"/>
      <c r="O64" s="504"/>
      <c r="P64" s="704"/>
      <c r="Q64" s="704"/>
      <c r="R64" s="704"/>
      <c r="S64" s="705"/>
    </row>
    <row r="65" spans="1:19" ht="12.75" customHeight="1">
      <c r="A65" s="2062" t="str">
        <f t="shared" si="5"/>
        <v>RATIOS D'ACTIVITES</v>
      </c>
      <c r="B65" s="2063"/>
      <c r="C65" s="2077"/>
      <c r="D65" s="2077"/>
      <c r="E65" s="2077"/>
      <c r="F65" s="1358"/>
      <c r="G65" s="1359"/>
      <c r="H65" s="2070"/>
      <c r="I65" s="1335" t="s">
        <v>1095</v>
      </c>
      <c r="J65" s="1267"/>
      <c r="K65" s="1267"/>
      <c r="L65" s="1268"/>
      <c r="M65" s="456"/>
      <c r="N65" s="1227"/>
      <c r="O65" s="139"/>
      <c r="P65" s="229">
        <v>360</v>
      </c>
      <c r="Q65" s="229"/>
      <c r="R65" s="229"/>
      <c r="S65" s="1116"/>
    </row>
    <row r="66" spans="1:19" ht="12.75" customHeight="1">
      <c r="A66" s="298" t="str">
        <f t="shared" si="5"/>
        <v>Stock / CA</v>
      </c>
      <c r="B66" s="1223"/>
      <c r="C66" s="1303">
        <f>IF(B66="x"," ",J66)</f>
        <v>1065520</v>
      </c>
      <c r="D66" s="1303">
        <f>IF(B66="x"," ",K66)</f>
        <v>9238580</v>
      </c>
      <c r="E66" s="464">
        <f>IF(B66="x"," ",L66)</f>
        <v>0.11533374176550942</v>
      </c>
      <c r="F66" s="1224"/>
      <c r="G66" s="1285"/>
      <c r="H66" s="2070"/>
      <c r="I66" s="1338" t="s">
        <v>1096</v>
      </c>
      <c r="J66" s="459">
        <f>Stock!D3</f>
        <v>1065520</v>
      </c>
      <c r="K66" s="459">
        <f>G_CA1</f>
        <v>9238580</v>
      </c>
      <c r="L66" s="463">
        <f>IF(OR(B66="x",K66=0),"",J66/K66)</f>
        <v>0.11533374176550942</v>
      </c>
      <c r="M66" s="461"/>
      <c r="N66" s="1227"/>
      <c r="O66" s="706">
        <f>IF(K66=0,0,(J66/K66)*360)</f>
        <v>41.52014703558339</v>
      </c>
      <c r="P66" s="707">
        <f aca="true" t="shared" si="20" ref="P66:P76">AnnéeCom*O66</f>
        <v>14947.25293281002</v>
      </c>
      <c r="Q66" s="707">
        <f>INT(P66)</f>
        <v>14947</v>
      </c>
      <c r="R66" s="707" t="s">
        <v>319</v>
      </c>
      <c r="S66" s="708" t="str">
        <f>Q66&amp;" "&amp;R66</f>
        <v>14947 Jours</v>
      </c>
    </row>
    <row r="67" spans="1:19" ht="12.75" customHeight="1">
      <c r="A67" s="298" t="str">
        <f t="shared" si="5"/>
        <v>Stock / VA</v>
      </c>
      <c r="B67" s="1223"/>
      <c r="C67" s="1303">
        <f aca="true" t="shared" si="21" ref="C67:C76">IF(B67="x"," ",J67)</f>
        <v>1065520</v>
      </c>
      <c r="D67" s="1303">
        <f aca="true" t="shared" si="22" ref="D67:D76">IF(B67="x"," ",K67)</f>
        <v>5124355</v>
      </c>
      <c r="E67" s="464">
        <f aca="true" t="shared" si="23" ref="E67:E76">IF(B67="x"," ",L67)</f>
        <v>0.2079325105305936</v>
      </c>
      <c r="F67" s="1224"/>
      <c r="G67" s="1285"/>
      <c r="H67" s="2070"/>
      <c r="I67" s="1336" t="s">
        <v>622</v>
      </c>
      <c r="J67" s="457">
        <f>J66</f>
        <v>1065520</v>
      </c>
      <c r="K67" s="457">
        <f>K31</f>
        <v>5124355</v>
      </c>
      <c r="L67" s="463">
        <f>IF(OR(B67="x",K67=0),"",J67/K67)</f>
        <v>0.2079325105305936</v>
      </c>
      <c r="M67" s="14"/>
      <c r="N67" s="1227"/>
      <c r="O67" s="706">
        <f>IF(K67=0,0,(J67/K67)*360)</f>
        <v>74.8557037910137</v>
      </c>
      <c r="P67" s="707">
        <f t="shared" si="20"/>
        <v>26948.05336476493</v>
      </c>
      <c r="Q67" s="707">
        <f>INT(P67)</f>
        <v>26948</v>
      </c>
      <c r="R67" s="707" t="s">
        <v>319</v>
      </c>
      <c r="S67" s="708" t="str">
        <f>Q67&amp;" "&amp;R67</f>
        <v>26948 Jours</v>
      </c>
    </row>
    <row r="68" spans="1:19" ht="12.75" customHeight="1">
      <c r="A68" s="298" t="str">
        <f t="shared" si="5"/>
        <v>Stock / Conso quotidienne</v>
      </c>
      <c r="B68" s="1223"/>
      <c r="C68" s="1303">
        <f t="shared" si="21"/>
        <v>0</v>
      </c>
      <c r="D68" s="1303">
        <f t="shared" si="22"/>
        <v>0</v>
      </c>
      <c r="E68" s="464">
        <f t="shared" si="23"/>
      </c>
      <c r="F68" s="1224"/>
      <c r="G68" s="1285"/>
      <c r="H68" s="2070"/>
      <c r="I68" s="1336" t="s">
        <v>1097</v>
      </c>
      <c r="J68" s="457"/>
      <c r="K68" s="457"/>
      <c r="L68" s="463">
        <f>IF(OR(B68="x",K68=0),"",J68/K68)</f>
      </c>
      <c r="M68" s="14"/>
      <c r="N68" s="1227"/>
      <c r="O68" s="706">
        <f aca="true" t="shared" si="24" ref="O68:O76">IF(K68=0,0,J68/K68)</f>
        <v>0</v>
      </c>
      <c r="P68" s="707">
        <f t="shared" si="20"/>
        <v>0</v>
      </c>
      <c r="Q68" s="707">
        <f aca="true" t="shared" si="25" ref="Q68:Q76">INT(P68)</f>
        <v>0</v>
      </c>
      <c r="R68" s="707" t="s">
        <v>319</v>
      </c>
      <c r="S68" s="708" t="str">
        <f>Q68&amp;" "&amp;R68</f>
        <v>0 Jours</v>
      </c>
    </row>
    <row r="69" spans="1:19" ht="12.75" customHeight="1">
      <c r="A69" s="298" t="str">
        <f t="shared" si="5"/>
        <v>Délai de ratation des stock (/ marchandises) =                                     Stock my / Achat m/se               </v>
      </c>
      <c r="B69" s="1223"/>
      <c r="C69" s="1303">
        <f t="shared" si="21"/>
        <v>1065520</v>
      </c>
      <c r="D69" s="1303">
        <f t="shared" si="22"/>
        <v>3753000</v>
      </c>
      <c r="E69" s="464" t="str">
        <f t="shared" si="23"/>
        <v>102 Jours</v>
      </c>
      <c r="F69" s="1224"/>
      <c r="G69" s="1285"/>
      <c r="H69" s="2070"/>
      <c r="I69" s="1336" t="s">
        <v>696</v>
      </c>
      <c r="J69" s="457">
        <f>Stock!D3</f>
        <v>1065520</v>
      </c>
      <c r="K69" s="457">
        <f>'BF'!AB41</f>
        <v>3753000</v>
      </c>
      <c r="L69" s="463" t="str">
        <f>IF(B69="x","",S69)</f>
        <v>102 Jours</v>
      </c>
      <c r="M69" s="14"/>
      <c r="N69" s="1227"/>
      <c r="O69" s="706">
        <f t="shared" si="24"/>
        <v>0.2839115374367173</v>
      </c>
      <c r="P69" s="707">
        <f t="shared" si="20"/>
        <v>102.20815347721823</v>
      </c>
      <c r="Q69" s="707">
        <f t="shared" si="25"/>
        <v>102</v>
      </c>
      <c r="R69" s="707" t="s">
        <v>319</v>
      </c>
      <c r="S69" s="708" t="str">
        <f>Q69&amp;" "&amp;R69</f>
        <v>102 Jours</v>
      </c>
    </row>
    <row r="70" spans="1:19" ht="12.75" customHeight="1">
      <c r="A70" s="298" t="str">
        <f t="shared" si="5"/>
        <v>Délai de ratation des stock (/ production) =                 Stock my / Coût de production de produits finis              </v>
      </c>
      <c r="B70" s="1223"/>
      <c r="C70" s="1303">
        <f t="shared" si="21"/>
        <v>325110</v>
      </c>
      <c r="D70" s="1303">
        <f t="shared" si="22"/>
        <v>8704462</v>
      </c>
      <c r="E70" s="464" t="str">
        <f t="shared" si="23"/>
        <v>13 Jours</v>
      </c>
      <c r="F70" s="1224"/>
      <c r="G70" s="1285"/>
      <c r="H70" s="2070"/>
      <c r="I70" s="1336" t="s">
        <v>697</v>
      </c>
      <c r="J70" s="457">
        <f>Stock!D6</f>
        <v>325110</v>
      </c>
      <c r="K70" s="457">
        <f>'BF'!AB55</f>
        <v>8704462</v>
      </c>
      <c r="L70" s="463" t="str">
        <f aca="true" t="shared" si="26" ref="L70:L76">IF(B70="x","",S70)</f>
        <v>13 Jours</v>
      </c>
      <c r="M70" s="14"/>
      <c r="N70" s="1227"/>
      <c r="O70" s="706">
        <f t="shared" si="24"/>
        <v>0.03734980978721028</v>
      </c>
      <c r="P70" s="707">
        <f t="shared" si="20"/>
        <v>13.445931523395702</v>
      </c>
      <c r="Q70" s="707">
        <f t="shared" si="25"/>
        <v>13</v>
      </c>
      <c r="R70" s="707" t="s">
        <v>319</v>
      </c>
      <c r="S70" s="708" t="str">
        <f>Q70&amp;" "&amp;R70</f>
        <v>13 Jours</v>
      </c>
    </row>
    <row r="71" spans="1:19" ht="12.75" customHeight="1">
      <c r="A71" s="298" t="str">
        <f aca="true" t="shared" si="27" ref="A71:A114">IF(B72="x"," ",I71)</f>
        <v>Délai de rotation des créances clts =                                  Créances et effets clt / CA TTC              </v>
      </c>
      <c r="B71" s="1223"/>
      <c r="C71" s="1303">
        <f t="shared" si="21"/>
        <v>2302400</v>
      </c>
      <c r="D71" s="1303">
        <f t="shared" si="22"/>
        <v>11141727.48</v>
      </c>
      <c r="E71" s="464" t="str">
        <f t="shared" si="23"/>
        <v>74 Jours</v>
      </c>
      <c r="F71" s="1224"/>
      <c r="G71" s="1285"/>
      <c r="H71" s="2070"/>
      <c r="I71" s="1336" t="s">
        <v>796</v>
      </c>
      <c r="J71" s="457">
        <f>'BF'!AB62</f>
        <v>2302400</v>
      </c>
      <c r="K71" s="457">
        <f>'BF'!AB67</f>
        <v>11141727.48</v>
      </c>
      <c r="L71" s="463" t="str">
        <f t="shared" si="26"/>
        <v>74 Jours</v>
      </c>
      <c r="M71" s="14"/>
      <c r="N71" s="1227"/>
      <c r="O71" s="706">
        <f t="shared" si="24"/>
        <v>0.2066465908570221</v>
      </c>
      <c r="P71" s="707">
        <f t="shared" si="20"/>
        <v>74.39277270852796</v>
      </c>
      <c r="Q71" s="707">
        <f t="shared" si="25"/>
        <v>74</v>
      </c>
      <c r="R71" s="707" t="s">
        <v>319</v>
      </c>
      <c r="S71" s="708" t="str">
        <f aca="true" t="shared" si="28" ref="S71:S76">Q71&amp;" "&amp;R71</f>
        <v>74 Jours</v>
      </c>
    </row>
    <row r="72" spans="1:19" ht="12.75" customHeight="1">
      <c r="A72" s="298" t="str">
        <f t="shared" si="27"/>
        <v>Délai de rotation des dettes frs =                                  Dettes frs / Achat TTC + Services TTC             </v>
      </c>
      <c r="B72" s="1223"/>
      <c r="C72" s="1303">
        <f t="shared" si="21"/>
        <v>1824200</v>
      </c>
      <c r="D72" s="1303">
        <f t="shared" si="22"/>
        <v>5084821.62</v>
      </c>
      <c r="E72" s="464" t="str">
        <f t="shared" si="23"/>
        <v>129 Jours</v>
      </c>
      <c r="F72" s="1224"/>
      <c r="G72" s="1285"/>
      <c r="H72" s="2070"/>
      <c r="I72" s="1336" t="s">
        <v>809</v>
      </c>
      <c r="J72" s="457">
        <f>'BF'!AB72</f>
        <v>1824200</v>
      </c>
      <c r="K72" s="457">
        <f>'BF'!AB79</f>
        <v>5084821.62</v>
      </c>
      <c r="L72" s="463" t="str">
        <f t="shared" si="26"/>
        <v>129 Jours</v>
      </c>
      <c r="M72" s="14"/>
      <c r="N72" s="1227"/>
      <c r="O72" s="706">
        <f t="shared" si="24"/>
        <v>0.358753981226189</v>
      </c>
      <c r="P72" s="707">
        <f t="shared" si="20"/>
        <v>129.15143324142804</v>
      </c>
      <c r="Q72" s="707">
        <f t="shared" si="25"/>
        <v>129</v>
      </c>
      <c r="R72" s="707" t="s">
        <v>319</v>
      </c>
      <c r="S72" s="708" t="str">
        <f t="shared" si="28"/>
        <v>129 Jours</v>
      </c>
    </row>
    <row r="73" spans="1:19" ht="12.75" customHeight="1">
      <c r="A73" s="298" t="str">
        <f t="shared" si="27"/>
        <v>Délai de crédits moyen Frs = Frs / CA</v>
      </c>
      <c r="B73" s="1223"/>
      <c r="C73" s="1303">
        <f t="shared" si="21"/>
        <v>0</v>
      </c>
      <c r="D73" s="1303">
        <f t="shared" si="22"/>
        <v>0</v>
      </c>
      <c r="E73" s="464" t="str">
        <f t="shared" si="23"/>
        <v>0 Jours</v>
      </c>
      <c r="F73" s="1224"/>
      <c r="G73" s="1285"/>
      <c r="H73" s="2070"/>
      <c r="I73" s="1336" t="s">
        <v>1098</v>
      </c>
      <c r="J73" s="457"/>
      <c r="K73" s="457"/>
      <c r="L73" s="463" t="str">
        <f t="shared" si="26"/>
        <v>0 Jours</v>
      </c>
      <c r="M73" s="14"/>
      <c r="N73" s="1227"/>
      <c r="O73" s="706">
        <f t="shared" si="24"/>
        <v>0</v>
      </c>
      <c r="P73" s="707">
        <f t="shared" si="20"/>
        <v>0</v>
      </c>
      <c r="Q73" s="707">
        <f t="shared" si="25"/>
        <v>0</v>
      </c>
      <c r="R73" s="707" t="s">
        <v>319</v>
      </c>
      <c r="S73" s="708" t="str">
        <f t="shared" si="28"/>
        <v>0 Jours</v>
      </c>
    </row>
    <row r="74" spans="1:19" ht="12.75" customHeight="1">
      <c r="A74" s="298" t="str">
        <f t="shared" si="27"/>
        <v>BFR / Jours sur CA = CA / Immo</v>
      </c>
      <c r="B74" s="1223"/>
      <c r="C74" s="1303">
        <f t="shared" si="21"/>
        <v>0</v>
      </c>
      <c r="D74" s="1303">
        <f t="shared" si="22"/>
        <v>0</v>
      </c>
      <c r="E74" s="464" t="str">
        <f t="shared" si="23"/>
        <v>0 Jours</v>
      </c>
      <c r="F74" s="1224"/>
      <c r="G74" s="1285"/>
      <c r="H74" s="2070"/>
      <c r="I74" s="1336" t="s">
        <v>1099</v>
      </c>
      <c r="J74" s="457"/>
      <c r="K74" s="457"/>
      <c r="L74" s="463" t="str">
        <f t="shared" si="26"/>
        <v>0 Jours</v>
      </c>
      <c r="M74" s="14"/>
      <c r="N74" s="1227"/>
      <c r="O74" s="706">
        <f t="shared" si="24"/>
        <v>0</v>
      </c>
      <c r="P74" s="707">
        <f t="shared" si="20"/>
        <v>0</v>
      </c>
      <c r="Q74" s="707">
        <f t="shared" si="25"/>
        <v>0</v>
      </c>
      <c r="R74" s="707" t="s">
        <v>319</v>
      </c>
      <c r="S74" s="708" t="str">
        <f t="shared" si="28"/>
        <v>0 Jours</v>
      </c>
    </row>
    <row r="75" spans="1:19" ht="12.75" customHeight="1">
      <c r="A75" s="298" t="str">
        <f t="shared" si="27"/>
        <v>Rotation en Immos</v>
      </c>
      <c r="B75" s="1223"/>
      <c r="C75" s="1303">
        <f t="shared" si="21"/>
        <v>0</v>
      </c>
      <c r="D75" s="1303">
        <f t="shared" si="22"/>
        <v>0</v>
      </c>
      <c r="E75" s="464" t="str">
        <f t="shared" si="23"/>
        <v>0 Jours</v>
      </c>
      <c r="F75" s="1224"/>
      <c r="G75" s="1285"/>
      <c r="H75" s="2070"/>
      <c r="I75" s="1336" t="s">
        <v>1100</v>
      </c>
      <c r="J75" s="457"/>
      <c r="K75" s="457"/>
      <c r="L75" s="463" t="str">
        <f t="shared" si="26"/>
        <v>0 Jours</v>
      </c>
      <c r="M75" s="14"/>
      <c r="N75" s="1227"/>
      <c r="O75" s="706">
        <f t="shared" si="24"/>
        <v>0</v>
      </c>
      <c r="P75" s="707">
        <f t="shared" si="20"/>
        <v>0</v>
      </c>
      <c r="Q75" s="707">
        <f t="shared" si="25"/>
        <v>0</v>
      </c>
      <c r="R75" s="707" t="s">
        <v>319</v>
      </c>
      <c r="S75" s="708" t="str">
        <f t="shared" si="28"/>
        <v>0 Jours</v>
      </c>
    </row>
    <row r="76" spans="1:19" ht="12.75" customHeight="1">
      <c r="A76" s="298" t="str">
        <f t="shared" si="27"/>
        <v>Rotation actifs</v>
      </c>
      <c r="B76" s="1223"/>
      <c r="C76" s="1303">
        <f t="shared" si="21"/>
        <v>0</v>
      </c>
      <c r="D76" s="1303">
        <f t="shared" si="22"/>
        <v>0</v>
      </c>
      <c r="E76" s="464" t="str">
        <f t="shared" si="23"/>
        <v>0 Jours</v>
      </c>
      <c r="F76" s="1224"/>
      <c r="G76" s="1285"/>
      <c r="H76" s="2070"/>
      <c r="I76" s="1337" t="s">
        <v>1101</v>
      </c>
      <c r="J76" s="460"/>
      <c r="K76" s="460"/>
      <c r="L76" s="463" t="str">
        <f t="shared" si="26"/>
        <v>0 Jours</v>
      </c>
      <c r="M76" s="24"/>
      <c r="N76" s="1227"/>
      <c r="O76" s="706">
        <f t="shared" si="24"/>
        <v>0</v>
      </c>
      <c r="P76" s="707">
        <f t="shared" si="20"/>
        <v>0</v>
      </c>
      <c r="Q76" s="707">
        <f t="shared" si="25"/>
        <v>0</v>
      </c>
      <c r="R76" s="707" t="s">
        <v>319</v>
      </c>
      <c r="S76" s="708" t="str">
        <f t="shared" si="28"/>
        <v>0 Jours</v>
      </c>
    </row>
    <row r="77" spans="1:19" ht="12.75" customHeight="1">
      <c r="A77" s="2062" t="str">
        <f>IF(B78="x"," ",I77)</f>
        <v>RATIOS FINANCIERS</v>
      </c>
      <c r="B77" s="2063"/>
      <c r="C77" s="2063"/>
      <c r="D77" s="2063"/>
      <c r="E77" s="2063"/>
      <c r="F77" s="2063"/>
      <c r="G77" s="1359"/>
      <c r="H77" s="2070"/>
      <c r="I77" s="1327" t="s">
        <v>1091</v>
      </c>
      <c r="J77" s="1265"/>
      <c r="K77" s="1265"/>
      <c r="L77" s="1266"/>
      <c r="M77" s="456"/>
      <c r="N77" s="14"/>
      <c r="O77" s="1117"/>
      <c r="P77" s="1118"/>
      <c r="Q77" s="1118"/>
      <c r="R77" s="1118"/>
      <c r="S77" s="1119"/>
    </row>
    <row r="78" spans="1:19" ht="12.75" customHeight="1">
      <c r="A78" s="298" t="str">
        <f t="shared" si="27"/>
        <v>Capacité d'autofinancement ( C A F )</v>
      </c>
      <c r="B78" s="1275"/>
      <c r="C78" s="1303">
        <f>IF(B78="x"," ",J78)</f>
        <v>405046</v>
      </c>
      <c r="D78" s="1303">
        <f>IF(B78="x"," ",K78)</f>
        <v>0</v>
      </c>
      <c r="E78" s="464">
        <f>IF(B78="x"," ",L78)</f>
        <v>0</v>
      </c>
      <c r="F78" s="1293"/>
      <c r="G78" s="1294"/>
      <c r="H78" s="2070"/>
      <c r="I78" s="1339" t="s">
        <v>979</v>
      </c>
      <c r="J78" s="1165">
        <f>SIG0!L103</f>
        <v>405046</v>
      </c>
      <c r="K78" s="1165"/>
      <c r="L78" s="1166"/>
      <c r="M78" s="1167"/>
      <c r="N78" s="14"/>
      <c r="O78" s="504"/>
      <c r="P78" s="704"/>
      <c r="Q78" s="704"/>
      <c r="R78" s="704"/>
      <c r="S78" s="705"/>
    </row>
    <row r="79" spans="1:19" ht="12.75" customHeight="1">
      <c r="A79" s="298" t="str">
        <f t="shared" si="27"/>
        <v>Evolution de la VMP : (VMP n - VMP n-1) / VMP n-1</v>
      </c>
      <c r="B79" s="1275"/>
      <c r="C79" s="1303">
        <f aca="true" t="shared" si="29" ref="C79:C85">IF(B79="x"," ",J79)</f>
        <v>13000</v>
      </c>
      <c r="D79" s="1303">
        <f aca="true" t="shared" si="30" ref="D79:D85">IF(B79="x"," ",K79)</f>
        <v>40800</v>
      </c>
      <c r="E79" s="464">
        <f aca="true" t="shared" si="31" ref="E79:E85">IF(B79="x"," ",L79)</f>
        <v>-0.6813725490196079</v>
      </c>
      <c r="F79" s="1293"/>
      <c r="G79" s="1294"/>
      <c r="H79" s="2070"/>
      <c r="I79" s="1340" t="s">
        <v>513</v>
      </c>
      <c r="J79" s="1165">
        <f>B!D50</f>
        <v>13000</v>
      </c>
      <c r="K79" s="1165">
        <f>B!E50</f>
        <v>40800</v>
      </c>
      <c r="L79" s="1262">
        <f>IF(B79="x"," ",(J79-K79)/K79)</f>
        <v>-0.6813725490196079</v>
      </c>
      <c r="M79" s="1167"/>
      <c r="N79" s="14"/>
      <c r="O79" s="504"/>
      <c r="P79" s="704"/>
      <c r="Q79" s="704"/>
      <c r="R79" s="704"/>
      <c r="S79" s="705"/>
    </row>
    <row r="80" spans="1:19" ht="12.75" customHeight="1">
      <c r="A80" s="298" t="str">
        <f t="shared" si="27"/>
        <v>Stabilité des ressources =                                                       K permanents / Actifs net immobilisé</v>
      </c>
      <c r="B80" s="1223"/>
      <c r="C80" s="1303">
        <f t="shared" si="29"/>
        <v>0</v>
      </c>
      <c r="D80" s="1303">
        <f t="shared" si="30"/>
        <v>1165030</v>
      </c>
      <c r="E80" s="464">
        <f t="shared" si="31"/>
        <v>-1</v>
      </c>
      <c r="F80" s="1224"/>
      <c r="G80" s="1285"/>
      <c r="H80" s="2070"/>
      <c r="I80" s="1336" t="s">
        <v>515</v>
      </c>
      <c r="J80" s="457"/>
      <c r="K80" s="457">
        <f>B!D31</f>
        <v>1165030</v>
      </c>
      <c r="L80" s="463">
        <f aca="true" t="shared" si="32" ref="L80:L85">IF(B80="x"," ",(J80-K80)/K80)</f>
        <v>-1</v>
      </c>
      <c r="M80" s="14"/>
      <c r="N80" s="14"/>
      <c r="O80" s="504"/>
      <c r="P80" s="704"/>
      <c r="Q80" s="704"/>
      <c r="R80" s="704"/>
      <c r="S80" s="705"/>
    </row>
    <row r="81" spans="1:19" ht="12.75" customHeight="1">
      <c r="A81" s="298" t="str">
        <f t="shared" si="27"/>
        <v>Autonomie des financements des Investissement = Fond propres / Actifs net</v>
      </c>
      <c r="B81" s="1223"/>
      <c r="C81" s="1303">
        <f t="shared" si="29"/>
        <v>0</v>
      </c>
      <c r="D81" s="1303">
        <f t="shared" si="30"/>
        <v>5321918</v>
      </c>
      <c r="E81" s="464">
        <f t="shared" si="31"/>
        <v>-1</v>
      </c>
      <c r="F81" s="1224"/>
      <c r="G81" s="1285"/>
      <c r="H81" s="2070"/>
      <c r="I81" s="1336" t="s">
        <v>1092</v>
      </c>
      <c r="J81" s="457"/>
      <c r="K81" s="457">
        <f>B!D59</f>
        <v>5321918</v>
      </c>
      <c r="L81" s="463">
        <f t="shared" si="32"/>
        <v>-1</v>
      </c>
      <c r="M81" s="14"/>
      <c r="N81" s="14"/>
      <c r="O81" s="504"/>
      <c r="P81" s="704"/>
      <c r="Q81" s="704"/>
      <c r="R81" s="704"/>
      <c r="S81" s="705"/>
    </row>
    <row r="82" spans="1:19" ht="12.75" customHeight="1">
      <c r="A82" s="298" t="str">
        <f t="shared" si="27"/>
        <v>Fond de roulement =                                                                Actif Circulant / Dettes à courts termes</v>
      </c>
      <c r="B82" s="1223"/>
      <c r="C82" s="1303">
        <f t="shared" si="29"/>
        <v>0</v>
      </c>
      <c r="D82" s="1303">
        <f t="shared" si="30"/>
        <v>0</v>
      </c>
      <c r="E82" s="464" t="e">
        <f t="shared" si="31"/>
        <v>#DIV/0!</v>
      </c>
      <c r="F82" s="1224"/>
      <c r="G82" s="1285"/>
      <c r="H82" s="2070"/>
      <c r="I82" s="1336" t="s">
        <v>516</v>
      </c>
      <c r="J82" s="457"/>
      <c r="K82" s="457"/>
      <c r="L82" s="463" t="e">
        <f t="shared" si="32"/>
        <v>#DIV/0!</v>
      </c>
      <c r="M82" s="14"/>
      <c r="N82" s="14"/>
      <c r="O82" s="504"/>
      <c r="P82" s="704"/>
      <c r="Q82" s="704"/>
      <c r="R82" s="704"/>
      <c r="S82" s="705"/>
    </row>
    <row r="83" spans="1:19" ht="12.75" customHeight="1">
      <c r="A83" s="298" t="str">
        <f t="shared" si="27"/>
        <v>Ratios de liquidité restreintes =                                               AC net / Dettes à Crt termes</v>
      </c>
      <c r="B83" s="1223"/>
      <c r="C83" s="1303">
        <f t="shared" si="29"/>
        <v>0</v>
      </c>
      <c r="D83" s="1303">
        <f t="shared" si="30"/>
        <v>0</v>
      </c>
      <c r="E83" s="464" t="e">
        <f t="shared" si="31"/>
        <v>#DIV/0!</v>
      </c>
      <c r="F83" s="1224"/>
      <c r="G83" s="1285"/>
      <c r="H83" s="2070"/>
      <c r="I83" s="1336" t="s">
        <v>517</v>
      </c>
      <c r="J83" s="457"/>
      <c r="K83" s="457"/>
      <c r="L83" s="463" t="e">
        <f t="shared" si="32"/>
        <v>#DIV/0!</v>
      </c>
      <c r="M83" s="14"/>
      <c r="N83" s="14"/>
      <c r="O83" s="504"/>
      <c r="P83" s="704"/>
      <c r="Q83" s="704"/>
      <c r="R83" s="704"/>
      <c r="S83" s="705"/>
    </row>
    <row r="84" spans="1:19" ht="12.75" customHeight="1">
      <c r="A84" s="298" t="str">
        <f t="shared" si="27"/>
        <v>Ratios de financement  = FR net / AC net</v>
      </c>
      <c r="B84" s="1223"/>
      <c r="C84" s="1303">
        <f t="shared" si="29"/>
        <v>0</v>
      </c>
      <c r="D84" s="1303">
        <f t="shared" si="30"/>
        <v>0</v>
      </c>
      <c r="E84" s="464" t="e">
        <f t="shared" si="31"/>
        <v>#DIV/0!</v>
      </c>
      <c r="F84" s="1224"/>
      <c r="G84" s="1285"/>
      <c r="H84" s="2070"/>
      <c r="I84" s="1336" t="s">
        <v>1093</v>
      </c>
      <c r="J84" s="457"/>
      <c r="K84" s="457"/>
      <c r="L84" s="463" t="e">
        <f t="shared" si="32"/>
        <v>#DIV/0!</v>
      </c>
      <c r="M84" s="14"/>
      <c r="N84" s="14"/>
      <c r="O84" s="504"/>
      <c r="P84" s="704"/>
      <c r="Q84" s="704"/>
      <c r="R84" s="704"/>
      <c r="S84" s="705"/>
    </row>
    <row r="85" spans="1:19" ht="12.75" customHeight="1">
      <c r="A85" s="298" t="str">
        <f t="shared" si="27"/>
        <v>Ratios de fond de roulement = FR net / AC net</v>
      </c>
      <c r="B85" s="1223"/>
      <c r="C85" s="1303">
        <f t="shared" si="29"/>
        <v>0</v>
      </c>
      <c r="D85" s="1303">
        <f t="shared" si="30"/>
        <v>0</v>
      </c>
      <c r="E85" s="464" t="e">
        <f t="shared" si="31"/>
        <v>#DIV/0!</v>
      </c>
      <c r="F85" s="1224"/>
      <c r="G85" s="1285"/>
      <c r="H85" s="2070"/>
      <c r="I85" s="1336" t="s">
        <v>1094</v>
      </c>
      <c r="J85" s="457"/>
      <c r="K85" s="457"/>
      <c r="L85" s="463" t="e">
        <f t="shared" si="32"/>
        <v>#DIV/0!</v>
      </c>
      <c r="M85" s="14"/>
      <c r="N85" s="14"/>
      <c r="O85" s="504"/>
      <c r="P85" s="704"/>
      <c r="Q85" s="704"/>
      <c r="R85" s="704"/>
      <c r="S85" s="705"/>
    </row>
    <row r="86" spans="1:19" ht="12.75" customHeight="1">
      <c r="A86" s="2062" t="str">
        <f>IF(B87="x"," ",I86)</f>
        <v>RATIOS STRUCTUREL</v>
      </c>
      <c r="B86" s="2063"/>
      <c r="C86" s="2078"/>
      <c r="D86" s="2078"/>
      <c r="E86" s="2078"/>
      <c r="F86" s="2063"/>
      <c r="G86" s="1359"/>
      <c r="H86" s="2070"/>
      <c r="I86" s="1335" t="s">
        <v>1102</v>
      </c>
      <c r="J86" s="1267"/>
      <c r="K86" s="1267"/>
      <c r="L86" s="1268"/>
      <c r="M86" s="456"/>
      <c r="N86" s="23"/>
      <c r="O86" s="504"/>
      <c r="P86" s="704"/>
      <c r="Q86" s="704"/>
      <c r="R86" s="704"/>
      <c r="S86" s="705"/>
    </row>
    <row r="87" spans="1:19" s="17" customFormat="1" ht="12.75" customHeight="1">
      <c r="A87" s="298" t="str">
        <f t="shared" si="27"/>
        <v>Ressources stable / Emplois stable</v>
      </c>
      <c r="B87" s="1276"/>
      <c r="C87" s="1310">
        <f>IF(B87="x"," ",J87)</f>
        <v>3273124</v>
      </c>
      <c r="D87" s="1341">
        <f>IF(B87="x"," ",K87)</f>
        <v>1669740</v>
      </c>
      <c r="E87" s="466">
        <f>IF(B87="x"," ",L87)</f>
        <v>1.9602596811479631</v>
      </c>
      <c r="F87" s="1295"/>
      <c r="G87" s="1289"/>
      <c r="H87" s="2070"/>
      <c r="I87" s="1340" t="s">
        <v>320</v>
      </c>
      <c r="J87" s="455">
        <f>'BF'!AB16</f>
        <v>3273124</v>
      </c>
      <c r="K87" s="455">
        <f>'BF'!AB17</f>
        <v>1669740</v>
      </c>
      <c r="L87" s="696">
        <f>IF(K87=0,"",J87/K87)</f>
        <v>1.9602596811479631</v>
      </c>
      <c r="M87" s="1226"/>
      <c r="N87" s="438"/>
      <c r="O87" s="504"/>
      <c r="P87" s="704"/>
      <c r="Q87" s="704"/>
      <c r="R87" s="704"/>
      <c r="S87" s="705"/>
    </row>
    <row r="88" spans="1:19" s="17" customFormat="1" ht="12.75" customHeight="1">
      <c r="A88" s="298" t="str">
        <f t="shared" si="27"/>
        <v>Endettement / Ressources propres</v>
      </c>
      <c r="B88" s="1276"/>
      <c r="C88" s="1297">
        <f aca="true" t="shared" si="33" ref="C88:C105">IF(B88="x"," ",J88)</f>
        <v>1275050</v>
      </c>
      <c r="D88" s="1303">
        <f aca="true" t="shared" si="34" ref="D88:D105">IF(B88="x"," ",K88)</f>
        <v>2052574</v>
      </c>
      <c r="E88" s="464">
        <f aca="true" t="shared" si="35" ref="E88:E105">IF(B88="x"," ",L88)</f>
        <v>0.6211956304620443</v>
      </c>
      <c r="F88" s="1295"/>
      <c r="G88" s="1289"/>
      <c r="H88" s="2070"/>
      <c r="I88" s="1340" t="s">
        <v>388</v>
      </c>
      <c r="J88" s="455">
        <f>'BF'!AB26</f>
        <v>1275050</v>
      </c>
      <c r="K88" s="455">
        <f>'BF'!AB29</f>
        <v>2052574</v>
      </c>
      <c r="L88" s="697">
        <f>IF(K88=0,"",J88/K88)</f>
        <v>0.6211956304620443</v>
      </c>
      <c r="M88" s="702">
        <f>'BF'!AC30</f>
        <v>0.8121534562214846</v>
      </c>
      <c r="N88" s="438"/>
      <c r="O88" s="504"/>
      <c r="P88" s="704"/>
      <c r="Q88" s="704"/>
      <c r="R88" s="704"/>
      <c r="S88" s="705"/>
    </row>
    <row r="89" spans="1:19" ht="12.75" customHeight="1">
      <c r="A89" s="298" t="str">
        <f t="shared" si="27"/>
        <v>Besoin de fond de Roulement / CA</v>
      </c>
      <c r="B89" s="1222"/>
      <c r="C89" s="1297">
        <f t="shared" si="33"/>
        <v>1508743</v>
      </c>
      <c r="D89" s="1303">
        <f t="shared" si="34"/>
        <v>9238580</v>
      </c>
      <c r="E89" s="464">
        <f t="shared" si="35"/>
        <v>0.16330897172509196</v>
      </c>
      <c r="F89" s="1224"/>
      <c r="G89" s="1285"/>
      <c r="H89" s="2070"/>
      <c r="I89" s="298" t="s">
        <v>594</v>
      </c>
      <c r="J89" s="457">
        <f>'BF'!AB33</f>
        <v>1508743</v>
      </c>
      <c r="K89" s="457">
        <f>'BF'!AB34</f>
        <v>9238580</v>
      </c>
      <c r="L89" s="697">
        <f>J89/K89</f>
        <v>0.16330897172509196</v>
      </c>
      <c r="M89" s="14"/>
      <c r="N89" s="23"/>
      <c r="O89" s="504"/>
      <c r="P89" s="704"/>
      <c r="Q89" s="704"/>
      <c r="R89" s="704"/>
      <c r="S89" s="705"/>
    </row>
    <row r="90" spans="1:19" ht="12.75" customHeight="1">
      <c r="A90" s="298" t="str">
        <f t="shared" si="27"/>
        <v>Actif du Bilan / dettes</v>
      </c>
      <c r="B90" s="1222"/>
      <c r="C90" s="1297">
        <f t="shared" si="33"/>
        <v>5321918</v>
      </c>
      <c r="D90" s="1303">
        <f t="shared" si="34"/>
        <v>3896554</v>
      </c>
      <c r="E90" s="464">
        <f t="shared" si="35"/>
        <v>1.3658011668771946</v>
      </c>
      <c r="F90" s="1224"/>
      <c r="G90" s="1285"/>
      <c r="H90" s="2070"/>
      <c r="I90" s="298" t="s">
        <v>550</v>
      </c>
      <c r="J90" s="457">
        <f>B!D59</f>
        <v>5321918</v>
      </c>
      <c r="K90" s="457">
        <f>B!J47</f>
        <v>3896554</v>
      </c>
      <c r="L90" s="323">
        <f>J90/K90</f>
        <v>1.3658011668771946</v>
      </c>
      <c r="M90" s="14"/>
      <c r="N90" s="23"/>
      <c r="O90" s="504"/>
      <c r="P90" s="704"/>
      <c r="Q90" s="704"/>
      <c r="R90" s="704"/>
      <c r="S90" s="705"/>
    </row>
    <row r="91" spans="1:19" ht="12.75" customHeight="1">
      <c r="A91" s="298" t="str">
        <f t="shared" si="27"/>
        <v>Poids des K fixes = Immo corp / Actif total</v>
      </c>
      <c r="B91" s="1222"/>
      <c r="C91" s="1297">
        <f t="shared" si="33"/>
        <v>940530</v>
      </c>
      <c r="D91" s="1303">
        <f t="shared" si="34"/>
        <v>5321918</v>
      </c>
      <c r="E91" s="464">
        <f t="shared" si="35"/>
        <v>0.17672763841908123</v>
      </c>
      <c r="F91" s="1224"/>
      <c r="G91" s="1285"/>
      <c r="H91" s="2070"/>
      <c r="I91" s="1336" t="s">
        <v>1103</v>
      </c>
      <c r="J91" s="457">
        <f>B!D22</f>
        <v>940530</v>
      </c>
      <c r="K91" s="457">
        <f>B!D59</f>
        <v>5321918</v>
      </c>
      <c r="L91" s="697">
        <f aca="true" t="shared" si="36" ref="L91:L99">IF(K91=0,"",J91/K91)</f>
        <v>0.17672763841908123</v>
      </c>
      <c r="M91" s="14"/>
      <c r="N91" s="23"/>
      <c r="O91" s="504"/>
      <c r="P91" s="704"/>
      <c r="Q91" s="704"/>
      <c r="R91" s="704"/>
      <c r="S91" s="705"/>
    </row>
    <row r="92" spans="1:19" ht="12.75" customHeight="1">
      <c r="A92" s="298" t="str">
        <f t="shared" si="27"/>
        <v>Interéaction financière entre entreprise =                      Immo fin / Actif total</v>
      </c>
      <c r="B92" s="1222"/>
      <c r="C92" s="1297">
        <f t="shared" si="33"/>
        <v>163000</v>
      </c>
      <c r="D92" s="1303">
        <f t="shared" si="34"/>
        <v>5321918</v>
      </c>
      <c r="E92" s="464">
        <f t="shared" si="35"/>
        <v>0.030628055524342914</v>
      </c>
      <c r="F92" s="1224"/>
      <c r="G92" s="1285"/>
      <c r="H92" s="2070"/>
      <c r="I92" s="1336" t="s">
        <v>391</v>
      </c>
      <c r="J92" s="457">
        <f>B!B29</f>
        <v>163000</v>
      </c>
      <c r="K92" s="457">
        <f>K91</f>
        <v>5321918</v>
      </c>
      <c r="L92" s="697">
        <f t="shared" si="36"/>
        <v>0.030628055524342914</v>
      </c>
      <c r="M92" s="14"/>
      <c r="N92" s="23"/>
      <c r="O92" s="504"/>
      <c r="P92" s="704"/>
      <c r="Q92" s="704"/>
      <c r="R92" s="704"/>
      <c r="S92" s="705"/>
    </row>
    <row r="93" spans="1:19" ht="12.75" customHeight="1">
      <c r="A93" s="298" t="str">
        <f t="shared" si="27"/>
        <v>Contrainte technico-éco = Stock / Actifs</v>
      </c>
      <c r="B93" s="1222"/>
      <c r="C93" s="1297">
        <f t="shared" si="33"/>
        <v>1703880</v>
      </c>
      <c r="D93" s="1303">
        <f t="shared" si="34"/>
        <v>5321918</v>
      </c>
      <c r="E93" s="464">
        <f t="shared" si="35"/>
        <v>0.3201627683853829</v>
      </c>
      <c r="F93" s="1224"/>
      <c r="G93" s="1285"/>
      <c r="H93" s="2070"/>
      <c r="I93" s="1336" t="s">
        <v>1104</v>
      </c>
      <c r="J93" s="457">
        <f>B!D40</f>
        <v>1703880</v>
      </c>
      <c r="K93" s="457">
        <f>K92</f>
        <v>5321918</v>
      </c>
      <c r="L93" s="697">
        <f t="shared" si="36"/>
        <v>0.3201627683853829</v>
      </c>
      <c r="M93" s="14"/>
      <c r="N93" s="23"/>
      <c r="O93" s="504"/>
      <c r="P93" s="704"/>
      <c r="Q93" s="704"/>
      <c r="R93" s="704"/>
      <c r="S93" s="705"/>
    </row>
    <row r="94" spans="1:19" ht="12.75" customHeight="1">
      <c r="A94" s="298" t="str">
        <f t="shared" si="27"/>
        <v>Clt + Effet à recevoir / Actif total</v>
      </c>
      <c r="B94" s="1222"/>
      <c r="C94" s="1297">
        <f t="shared" si="33"/>
        <v>2170408</v>
      </c>
      <c r="D94" s="1303">
        <f t="shared" si="34"/>
        <v>5321918</v>
      </c>
      <c r="E94" s="464">
        <f t="shared" si="35"/>
        <v>0.4078243971440372</v>
      </c>
      <c r="F94" s="1224"/>
      <c r="G94" s="1285"/>
      <c r="H94" s="2070"/>
      <c r="I94" s="1336" t="s">
        <v>1105</v>
      </c>
      <c r="J94" s="457">
        <f>B!D47</f>
        <v>2170408</v>
      </c>
      <c r="K94" s="457">
        <f>K93</f>
        <v>5321918</v>
      </c>
      <c r="L94" s="697">
        <f t="shared" si="36"/>
        <v>0.4078243971440372</v>
      </c>
      <c r="M94" s="14"/>
      <c r="N94" s="23"/>
      <c r="O94" s="504"/>
      <c r="P94" s="704"/>
      <c r="Q94" s="704"/>
      <c r="R94" s="704"/>
      <c r="S94" s="705"/>
    </row>
    <row r="95" spans="1:19" ht="12.75" customHeight="1">
      <c r="A95" s="298" t="str">
        <f t="shared" si="27"/>
        <v>Disponibilité / Actif total</v>
      </c>
      <c r="B95" s="1222"/>
      <c r="C95" s="1297">
        <f t="shared" si="33"/>
        <v>263800</v>
      </c>
      <c r="D95" s="1303">
        <f t="shared" si="34"/>
        <v>5321918</v>
      </c>
      <c r="E95" s="464">
        <f t="shared" si="35"/>
        <v>0.04956859538234148</v>
      </c>
      <c r="F95" s="1224"/>
      <c r="G95" s="1285"/>
      <c r="H95" s="2070"/>
      <c r="I95" s="1336" t="s">
        <v>1106</v>
      </c>
      <c r="J95" s="457">
        <f>B!D51</f>
        <v>263800</v>
      </c>
      <c r="K95" s="457">
        <f>K94</f>
        <v>5321918</v>
      </c>
      <c r="L95" s="697">
        <f t="shared" si="36"/>
        <v>0.04956859538234148</v>
      </c>
      <c r="M95" s="14"/>
      <c r="N95" s="23"/>
      <c r="O95" s="504"/>
      <c r="P95" s="704"/>
      <c r="Q95" s="704"/>
      <c r="R95" s="704"/>
      <c r="S95" s="705"/>
    </row>
    <row r="96" spans="1:19" ht="12.75" customHeight="1">
      <c r="A96" s="298" t="str">
        <f t="shared" si="27"/>
        <v>K propres / passif total</v>
      </c>
      <c r="B96" s="1222"/>
      <c r="C96" s="1297">
        <f t="shared" si="33"/>
        <v>1398064</v>
      </c>
      <c r="D96" s="1303">
        <f t="shared" si="34"/>
        <v>9234672</v>
      </c>
      <c r="E96" s="464">
        <f t="shared" si="35"/>
        <v>0.15139292440489494</v>
      </c>
      <c r="F96" s="1224"/>
      <c r="G96" s="1285"/>
      <c r="H96" s="2070"/>
      <c r="I96" s="1336" t="s">
        <v>1107</v>
      </c>
      <c r="J96" s="457">
        <f>'BF'!G8</f>
        <v>1398064</v>
      </c>
      <c r="K96" s="457">
        <f>B!J59</f>
        <v>9234672</v>
      </c>
      <c r="L96" s="697">
        <f t="shared" si="36"/>
        <v>0.15139292440489494</v>
      </c>
      <c r="M96" s="14"/>
      <c r="N96" s="23"/>
      <c r="O96" s="504"/>
      <c r="P96" s="704"/>
      <c r="Q96" s="704"/>
      <c r="R96" s="704"/>
      <c r="S96" s="705"/>
    </row>
    <row r="97" spans="1:19" ht="12.75" customHeight="1">
      <c r="A97" s="298" t="str">
        <f t="shared" si="27"/>
        <v>K permanents / Passif total</v>
      </c>
      <c r="B97" s="1222"/>
      <c r="C97" s="1297">
        <f t="shared" si="33"/>
        <v>0</v>
      </c>
      <c r="D97" s="1303">
        <f t="shared" si="34"/>
        <v>0</v>
      </c>
      <c r="E97" s="464">
        <f t="shared" si="35"/>
      </c>
      <c r="F97" s="1224"/>
      <c r="G97" s="1285"/>
      <c r="H97" s="2070"/>
      <c r="I97" s="1336" t="s">
        <v>1108</v>
      </c>
      <c r="J97" s="457"/>
      <c r="K97" s="457"/>
      <c r="L97" s="697">
        <f t="shared" si="36"/>
      </c>
      <c r="M97" s="14"/>
      <c r="N97" s="23"/>
      <c r="O97" s="504"/>
      <c r="P97" s="704"/>
      <c r="Q97" s="704"/>
      <c r="R97" s="704"/>
      <c r="S97" s="705"/>
    </row>
    <row r="98" spans="1:19" ht="12.75" customHeight="1">
      <c r="A98" s="298" t="str">
        <f t="shared" si="27"/>
        <v>Dette / Actif du Bilan</v>
      </c>
      <c r="B98" s="1222"/>
      <c r="C98" s="1297">
        <f t="shared" si="33"/>
        <v>3896554</v>
      </c>
      <c r="D98" s="1303">
        <f t="shared" si="34"/>
        <v>5321918</v>
      </c>
      <c r="E98" s="464">
        <f t="shared" si="35"/>
        <v>0.7321709954944815</v>
      </c>
      <c r="F98" s="1224"/>
      <c r="G98" s="1285"/>
      <c r="H98" s="2070"/>
      <c r="I98" s="298" t="s">
        <v>551</v>
      </c>
      <c r="J98" s="457">
        <f>B!J47</f>
        <v>3896554</v>
      </c>
      <c r="K98" s="457">
        <f>B!D59</f>
        <v>5321918</v>
      </c>
      <c r="L98" s="697">
        <f t="shared" si="36"/>
        <v>0.7321709954944815</v>
      </c>
      <c r="M98" s="14"/>
      <c r="N98" s="23"/>
      <c r="O98" s="504"/>
      <c r="P98" s="704"/>
      <c r="Q98" s="704"/>
      <c r="R98" s="704"/>
      <c r="S98" s="705"/>
    </row>
    <row r="99" spans="1:19" ht="12.75" customHeight="1">
      <c r="A99" s="298" t="str">
        <f t="shared" si="27"/>
        <v>Dettes / Passif total</v>
      </c>
      <c r="B99" s="1222"/>
      <c r="C99" s="1297">
        <f t="shared" si="33"/>
        <v>3896554</v>
      </c>
      <c r="D99" s="1303">
        <f t="shared" si="34"/>
        <v>9234672</v>
      </c>
      <c r="E99" s="464">
        <f t="shared" si="35"/>
        <v>0.42194828359902764</v>
      </c>
      <c r="F99" s="1224"/>
      <c r="G99" s="1285"/>
      <c r="H99" s="2070"/>
      <c r="I99" s="1336" t="s">
        <v>1109</v>
      </c>
      <c r="J99" s="457">
        <f>B!J47</f>
        <v>3896554</v>
      </c>
      <c r="K99" s="457">
        <f>K96</f>
        <v>9234672</v>
      </c>
      <c r="L99" s="697">
        <f t="shared" si="36"/>
        <v>0.42194828359902764</v>
      </c>
      <c r="M99" s="14"/>
      <c r="N99" s="23"/>
      <c r="O99" s="504"/>
      <c r="P99" s="704"/>
      <c r="Q99" s="704"/>
      <c r="R99" s="704"/>
      <c r="S99" s="705"/>
    </row>
    <row r="100" spans="1:19" ht="12.75" customHeight="1">
      <c r="A100" s="298" t="str">
        <f t="shared" si="27"/>
        <v>Dettes à moyen et long termes / K propres</v>
      </c>
      <c r="B100" s="1222"/>
      <c r="C100" s="1297">
        <f t="shared" si="33"/>
        <v>0</v>
      </c>
      <c r="D100" s="1303">
        <f t="shared" si="34"/>
        <v>0</v>
      </c>
      <c r="E100" s="464">
        <f t="shared" si="35"/>
        <v>0</v>
      </c>
      <c r="F100" s="1224"/>
      <c r="G100" s="1285"/>
      <c r="H100" s="2070"/>
      <c r="I100" s="1336" t="s">
        <v>1110</v>
      </c>
      <c r="J100" s="457"/>
      <c r="K100" s="457"/>
      <c r="L100" s="323"/>
      <c r="M100" s="14"/>
      <c r="N100" s="23"/>
      <c r="O100" s="504"/>
      <c r="P100" s="704"/>
      <c r="Q100" s="704"/>
      <c r="R100" s="704"/>
      <c r="S100" s="705"/>
    </row>
    <row r="101" spans="1:19" ht="12.75" customHeight="1">
      <c r="A101" s="298" t="str">
        <f t="shared" si="27"/>
        <v>Dette M &amp; L Termes / Marges brut</v>
      </c>
      <c r="B101" s="1222"/>
      <c r="C101" s="1297">
        <f t="shared" si="33"/>
        <v>0</v>
      </c>
      <c r="D101" s="1303">
        <f t="shared" si="34"/>
        <v>0</v>
      </c>
      <c r="E101" s="464">
        <f t="shared" si="35"/>
        <v>0</v>
      </c>
      <c r="F101" s="1224"/>
      <c r="G101" s="1285"/>
      <c r="H101" s="2070"/>
      <c r="I101" s="1336" t="s">
        <v>1111</v>
      </c>
      <c r="J101" s="457"/>
      <c r="K101" s="457"/>
      <c r="L101" s="323"/>
      <c r="M101" s="14"/>
      <c r="N101" s="23"/>
      <c r="O101" s="504"/>
      <c r="P101" s="704"/>
      <c r="Q101" s="704"/>
      <c r="R101" s="704"/>
      <c r="S101" s="705"/>
    </row>
    <row r="102" spans="1:19" ht="12.75" customHeight="1">
      <c r="A102" s="298" t="str">
        <f t="shared" si="27"/>
        <v>EBE / Frais financiers</v>
      </c>
      <c r="B102" s="1222"/>
      <c r="C102" s="1297">
        <f t="shared" si="33"/>
        <v>792033</v>
      </c>
      <c r="D102" s="1303">
        <f t="shared" si="34"/>
        <v>0</v>
      </c>
      <c r="E102" s="464">
        <f t="shared" si="35"/>
        <v>0</v>
      </c>
      <c r="F102" s="1224"/>
      <c r="G102" s="1285"/>
      <c r="H102" s="2070"/>
      <c r="I102" s="1336" t="s">
        <v>1112</v>
      </c>
      <c r="J102" s="457">
        <f>EBE</f>
        <v>792033</v>
      </c>
      <c r="K102" s="457"/>
      <c r="L102" s="323"/>
      <c r="M102" s="14"/>
      <c r="N102" s="23"/>
      <c r="O102" s="504"/>
      <c r="P102" s="704"/>
      <c r="Q102" s="704"/>
      <c r="R102" s="704"/>
      <c r="S102" s="705"/>
    </row>
    <row r="103" spans="1:19" ht="12.75" customHeight="1">
      <c r="A103" s="298">
        <f t="shared" si="27"/>
        <v>0</v>
      </c>
      <c r="B103" s="1222"/>
      <c r="C103" s="1297">
        <f t="shared" si="33"/>
        <v>0</v>
      </c>
      <c r="D103" s="1303">
        <f t="shared" si="34"/>
        <v>0</v>
      </c>
      <c r="E103" s="464">
        <f t="shared" si="35"/>
        <v>0</v>
      </c>
      <c r="F103" s="1224"/>
      <c r="G103" s="1285"/>
      <c r="H103" s="2070"/>
      <c r="I103" s="298"/>
      <c r="J103" s="457"/>
      <c r="K103" s="457"/>
      <c r="L103" s="323"/>
      <c r="M103" s="14"/>
      <c r="N103" s="31"/>
      <c r="O103" s="506"/>
      <c r="P103" s="709"/>
      <c r="Q103" s="709"/>
      <c r="R103" s="709"/>
      <c r="S103" s="710"/>
    </row>
    <row r="104" spans="1:13" ht="12.75" customHeight="1">
      <c r="A104" s="298">
        <f t="shared" si="27"/>
        <v>0</v>
      </c>
      <c r="B104" s="1222"/>
      <c r="C104" s="1297">
        <f t="shared" si="33"/>
        <v>0</v>
      </c>
      <c r="D104" s="1303">
        <f t="shared" si="34"/>
        <v>0</v>
      </c>
      <c r="E104" s="464">
        <f t="shared" si="35"/>
        <v>0</v>
      </c>
      <c r="F104" s="1224"/>
      <c r="G104" s="1285"/>
      <c r="H104" s="2070"/>
      <c r="I104" s="298"/>
      <c r="J104" s="457"/>
      <c r="K104" s="457"/>
      <c r="L104" s="323"/>
      <c r="M104" s="14"/>
    </row>
    <row r="105" spans="1:13" ht="12.75" customHeight="1">
      <c r="A105" s="298">
        <f t="shared" si="27"/>
        <v>0</v>
      </c>
      <c r="B105" s="1222"/>
      <c r="C105" s="1298">
        <f t="shared" si="33"/>
        <v>0</v>
      </c>
      <c r="D105" s="1309">
        <f t="shared" si="34"/>
        <v>0</v>
      </c>
      <c r="E105" s="1164">
        <f t="shared" si="35"/>
        <v>0</v>
      </c>
      <c r="F105" s="1224"/>
      <c r="G105" s="1285"/>
      <c r="H105" s="2070"/>
      <c r="I105" s="1326"/>
      <c r="J105" s="460"/>
      <c r="K105" s="460"/>
      <c r="L105" s="325"/>
      <c r="M105" s="24"/>
    </row>
    <row r="106" spans="1:13" ht="12.75" customHeight="1">
      <c r="A106" s="2062" t="str">
        <f>IF(B107="x"," ",I106)</f>
        <v>RATIOS BOURSIERS</v>
      </c>
      <c r="B106" s="2063"/>
      <c r="C106" s="2077"/>
      <c r="D106" s="2077"/>
      <c r="E106" s="2077"/>
      <c r="F106" s="2064"/>
      <c r="G106" s="1364"/>
      <c r="H106" s="2070"/>
      <c r="I106" s="1327" t="s">
        <v>514</v>
      </c>
      <c r="J106" s="1265"/>
      <c r="K106" s="1265"/>
      <c r="L106" s="1266"/>
      <c r="M106" s="1116"/>
    </row>
    <row r="107" spans="1:13" ht="12.75" customHeight="1">
      <c r="A107" s="1355">
        <f t="shared" si="27"/>
        <v>0</v>
      </c>
      <c r="B107" s="1275"/>
      <c r="C107" s="1353"/>
      <c r="D107" s="1322"/>
      <c r="E107" s="1294"/>
      <c r="F107" s="1292"/>
      <c r="G107" s="1294"/>
      <c r="H107" s="2070"/>
      <c r="J107" s="1165">
        <f>SIG0!L133</f>
        <v>0</v>
      </c>
      <c r="K107" s="1165"/>
      <c r="L107" s="1166"/>
      <c r="M107" s="1167"/>
    </row>
    <row r="108" spans="1:13" ht="12.75" customHeight="1">
      <c r="A108" s="1356">
        <f t="shared" si="27"/>
        <v>0</v>
      </c>
      <c r="B108" s="1275"/>
      <c r="C108" s="1353"/>
      <c r="D108" s="1322"/>
      <c r="E108" s="1294"/>
      <c r="F108" s="1292"/>
      <c r="G108" s="1294"/>
      <c r="H108" s="2070"/>
      <c r="I108" s="1339"/>
      <c r="J108" s="1165">
        <f>B!D80</f>
        <v>0</v>
      </c>
      <c r="K108" s="1165">
        <f>B!E80</f>
        <v>0</v>
      </c>
      <c r="L108" s="1262"/>
      <c r="M108" s="1167"/>
    </row>
    <row r="109" spans="1:13" ht="12.75" customHeight="1">
      <c r="A109" s="1356">
        <f t="shared" si="27"/>
        <v>0</v>
      </c>
      <c r="B109" s="1223"/>
      <c r="C109" s="1343"/>
      <c r="D109" s="1312"/>
      <c r="E109" s="1285"/>
      <c r="F109" s="1286"/>
      <c r="G109" s="1285"/>
      <c r="H109" s="2070"/>
      <c r="I109" s="1340"/>
      <c r="J109" s="457"/>
      <c r="K109" s="457">
        <f>B!D61</f>
        <v>0</v>
      </c>
      <c r="L109" s="446"/>
      <c r="M109" s="14"/>
    </row>
    <row r="110" spans="1:13" ht="12.75" customHeight="1">
      <c r="A110" s="1356">
        <f t="shared" si="27"/>
        <v>0</v>
      </c>
      <c r="B110" s="1223"/>
      <c r="C110" s="1343"/>
      <c r="D110" s="1312"/>
      <c r="E110" s="1285"/>
      <c r="F110" s="1286"/>
      <c r="G110" s="1285"/>
      <c r="H110" s="2070"/>
      <c r="I110" s="1336"/>
      <c r="J110" s="457"/>
      <c r="K110" s="457">
        <f>B!D89</f>
        <v>0</v>
      </c>
      <c r="L110" s="446"/>
      <c r="M110" s="14"/>
    </row>
    <row r="111" spans="1:13" ht="12.75" customHeight="1">
      <c r="A111" s="1356">
        <f t="shared" si="27"/>
        <v>0</v>
      </c>
      <c r="B111" s="1223"/>
      <c r="C111" s="1343"/>
      <c r="D111" s="1312"/>
      <c r="E111" s="1285"/>
      <c r="F111" s="1286"/>
      <c r="G111" s="1285"/>
      <c r="H111" s="2070"/>
      <c r="I111" s="1336"/>
      <c r="J111" s="457"/>
      <c r="K111" s="457"/>
      <c r="L111" s="446"/>
      <c r="M111" s="14"/>
    </row>
    <row r="112" spans="1:13" ht="12.75" customHeight="1">
      <c r="A112" s="1356">
        <f t="shared" si="27"/>
        <v>0</v>
      </c>
      <c r="B112" s="1223"/>
      <c r="C112" s="1343"/>
      <c r="D112" s="1312"/>
      <c r="E112" s="1285"/>
      <c r="F112" s="1286"/>
      <c r="G112" s="1285"/>
      <c r="H112" s="2070"/>
      <c r="I112" s="1336"/>
      <c r="J112" s="457"/>
      <c r="K112" s="457"/>
      <c r="L112" s="446"/>
      <c r="M112" s="14"/>
    </row>
    <row r="113" spans="1:13" ht="12.75" customHeight="1">
      <c r="A113" s="1356">
        <f t="shared" si="27"/>
        <v>0</v>
      </c>
      <c r="B113" s="1223"/>
      <c r="C113" s="1343"/>
      <c r="D113" s="1312"/>
      <c r="E113" s="1285"/>
      <c r="F113" s="1286"/>
      <c r="G113" s="1285"/>
      <c r="H113" s="2070"/>
      <c r="I113" s="1336"/>
      <c r="J113" s="457"/>
      <c r="K113" s="457"/>
      <c r="L113" s="446"/>
      <c r="M113" s="14"/>
    </row>
    <row r="114" spans="1:13" ht="12.75" customHeight="1">
      <c r="A114" s="1357">
        <f t="shared" si="27"/>
        <v>0</v>
      </c>
      <c r="B114" s="18"/>
      <c r="C114" s="1348"/>
      <c r="D114" s="1314"/>
      <c r="E114" s="1221"/>
      <c r="F114" s="1288"/>
      <c r="G114" s="1221"/>
      <c r="H114" s="2070"/>
      <c r="I114" s="1336"/>
      <c r="J114" s="460"/>
      <c r="K114" s="460"/>
      <c r="L114" s="445"/>
      <c r="M114" s="24"/>
    </row>
    <row r="115" spans="1:9" ht="12.75" customHeight="1">
      <c r="A115" s="640"/>
      <c r="I115" s="1337"/>
    </row>
    <row r="116" ht="12.75" customHeight="1"/>
    <row r="117" ht="12.75" customHeight="1"/>
  </sheetData>
  <sheetProtection/>
  <mergeCells count="13">
    <mergeCell ref="A58:F58"/>
    <mergeCell ref="A77:F77"/>
    <mergeCell ref="A86:F86"/>
    <mergeCell ref="A1:F1"/>
    <mergeCell ref="A16:F16"/>
    <mergeCell ref="A2:F2"/>
    <mergeCell ref="O2:S2"/>
    <mergeCell ref="Q10:S10"/>
    <mergeCell ref="H1:H114"/>
    <mergeCell ref="C3:E3"/>
    <mergeCell ref="A17:F17"/>
    <mergeCell ref="A65:E65"/>
    <mergeCell ref="A106:F106"/>
  </mergeCells>
  <printOptions/>
  <pageMargins left="0.3937007874015748" right="0.3937007874015748" top="0.7874015748031497" bottom="0.5905511811023623" header="0.5118110236220472" footer="0.5118110236220472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1"/>
  <dimension ref="A1:AD118"/>
  <sheetViews>
    <sheetView zoomScalePageLayoutView="0" workbookViewId="0" topLeftCell="A1">
      <selection activeCell="A30" sqref="A30"/>
    </sheetView>
  </sheetViews>
  <sheetFormatPr defaultColWidth="11.421875" defaultRowHeight="12.75"/>
  <cols>
    <col min="1" max="1" width="7.28125" style="1022" customWidth="1"/>
    <col min="2" max="2" width="38.140625" style="0" customWidth="1"/>
    <col min="3" max="3" width="12.7109375" style="0" customWidth="1"/>
    <col min="4" max="5" width="13.57421875" style="0" customWidth="1"/>
    <col min="7" max="7" width="13.57421875" style="0" customWidth="1"/>
    <col min="31" max="16384" width="11.421875" style="533" customWidth="1"/>
  </cols>
  <sheetData>
    <row r="1" spans="1:30" ht="12.75">
      <c r="A1" s="1007" t="s">
        <v>422</v>
      </c>
      <c r="B1" s="522" t="s">
        <v>423</v>
      </c>
      <c r="C1" s="520"/>
      <c r="D1" s="236"/>
      <c r="E1" s="1479" t="s">
        <v>425</v>
      </c>
      <c r="F1" s="1480"/>
      <c r="G1" s="1479" t="s">
        <v>426</v>
      </c>
      <c r="H1" s="1480"/>
      <c r="I1" s="1478" t="s">
        <v>415</v>
      </c>
      <c r="J1" s="1478"/>
      <c r="K1" s="1478" t="s">
        <v>427</v>
      </c>
      <c r="L1" s="1478"/>
      <c r="M1" s="1478" t="s">
        <v>416</v>
      </c>
      <c r="N1" s="1478"/>
      <c r="O1" s="1478" t="s">
        <v>417</v>
      </c>
      <c r="P1" s="1480"/>
      <c r="Q1" s="1479" t="s">
        <v>418</v>
      </c>
      <c r="R1" s="1480"/>
      <c r="S1" s="1479" t="s">
        <v>419</v>
      </c>
      <c r="T1" s="1478"/>
      <c r="U1" s="1478" t="s">
        <v>428</v>
      </c>
      <c r="V1" s="1478"/>
      <c r="W1" s="1478" t="s">
        <v>429</v>
      </c>
      <c r="X1" s="1478"/>
      <c r="Y1" s="1478" t="s">
        <v>420</v>
      </c>
      <c r="Z1" s="1478"/>
      <c r="AA1" s="1478" t="s">
        <v>421</v>
      </c>
      <c r="AB1" s="1478"/>
      <c r="AC1" s="1479" t="s">
        <v>1165</v>
      </c>
      <c r="AD1" s="1480"/>
    </row>
    <row r="2" spans="1:30" ht="12.75">
      <c r="A2" s="1481" t="s">
        <v>430</v>
      </c>
      <c r="B2" s="1482"/>
      <c r="C2" s="1483"/>
      <c r="D2" s="1483"/>
      <c r="E2" s="807"/>
      <c r="F2" s="810"/>
      <c r="G2" s="807"/>
      <c r="H2" s="810"/>
      <c r="I2" s="525"/>
      <c r="J2" s="525"/>
      <c r="K2" s="525"/>
      <c r="L2" s="525"/>
      <c r="M2" s="525"/>
      <c r="N2" s="525"/>
      <c r="O2" s="525"/>
      <c r="P2" s="523"/>
      <c r="Q2" s="525"/>
      <c r="R2" s="525"/>
      <c r="S2" s="525"/>
      <c r="T2" s="525"/>
      <c r="U2" s="525"/>
      <c r="V2" s="525"/>
      <c r="W2" s="525"/>
      <c r="X2" s="525"/>
      <c r="Y2" s="525"/>
      <c r="Z2" s="525"/>
      <c r="AA2" s="525"/>
      <c r="AB2" s="525"/>
      <c r="AC2" s="524"/>
      <c r="AD2" s="811"/>
    </row>
    <row r="3" spans="1:30" ht="12.75">
      <c r="A3" s="1008"/>
      <c r="B3" s="527" t="s">
        <v>1181</v>
      </c>
      <c r="C3" s="528" t="s">
        <v>196</v>
      </c>
      <c r="D3" s="527" t="s">
        <v>424</v>
      </c>
      <c r="E3" s="526" t="s">
        <v>684</v>
      </c>
      <c r="F3" s="528" t="s">
        <v>685</v>
      </c>
      <c r="G3" s="526" t="s">
        <v>684</v>
      </c>
      <c r="H3" s="528" t="s">
        <v>685</v>
      </c>
      <c r="I3" s="526" t="s">
        <v>684</v>
      </c>
      <c r="J3" s="528" t="s">
        <v>685</v>
      </c>
      <c r="K3" s="526" t="s">
        <v>684</v>
      </c>
      <c r="L3" s="528" t="s">
        <v>685</v>
      </c>
      <c r="M3" s="526" t="s">
        <v>684</v>
      </c>
      <c r="N3" s="528" t="s">
        <v>685</v>
      </c>
      <c r="O3" s="526" t="s">
        <v>684</v>
      </c>
      <c r="P3" s="528" t="s">
        <v>685</v>
      </c>
      <c r="Q3" s="526" t="s">
        <v>684</v>
      </c>
      <c r="R3" s="528" t="s">
        <v>685</v>
      </c>
      <c r="S3" s="526" t="s">
        <v>684</v>
      </c>
      <c r="T3" s="528" t="s">
        <v>685</v>
      </c>
      <c r="U3" s="526" t="s">
        <v>684</v>
      </c>
      <c r="V3" s="528" t="s">
        <v>685</v>
      </c>
      <c r="W3" s="526" t="s">
        <v>684</v>
      </c>
      <c r="X3" s="528" t="s">
        <v>685</v>
      </c>
      <c r="Y3" s="526" t="s">
        <v>684</v>
      </c>
      <c r="Z3" s="528" t="s">
        <v>685</v>
      </c>
      <c r="AA3" s="526" t="s">
        <v>684</v>
      </c>
      <c r="AB3" s="527" t="s">
        <v>685</v>
      </c>
      <c r="AC3" s="526" t="s">
        <v>684</v>
      </c>
      <c r="AD3" s="528" t="s">
        <v>685</v>
      </c>
    </row>
    <row r="4" spans="1:30" ht="12.75">
      <c r="A4" s="1009">
        <v>707000</v>
      </c>
      <c r="B4" s="968" t="s">
        <v>995</v>
      </c>
      <c r="C4" s="981"/>
      <c r="D4" s="1001"/>
      <c r="E4" s="982"/>
      <c r="F4" s="983"/>
      <c r="G4" s="982"/>
      <c r="H4" s="983"/>
      <c r="I4" s="984"/>
      <c r="J4" s="984"/>
      <c r="K4" s="984"/>
      <c r="L4" s="984"/>
      <c r="M4" s="984"/>
      <c r="N4" s="984"/>
      <c r="O4" s="984"/>
      <c r="P4" s="983"/>
      <c r="Q4" s="984"/>
      <c r="R4" s="984"/>
      <c r="S4" s="984"/>
      <c r="T4" s="984"/>
      <c r="U4" s="984"/>
      <c r="V4" s="984"/>
      <c r="W4" s="984"/>
      <c r="X4" s="984"/>
      <c r="Y4" s="984"/>
      <c r="Z4" s="984"/>
      <c r="AA4" s="984"/>
      <c r="AB4" s="984"/>
      <c r="AC4" s="994">
        <f>E4+G4+I4+K4+M4+O4+Q4+S4+U4+W4+Y4+AA4</f>
        <v>0</v>
      </c>
      <c r="AD4" s="983">
        <f>F4+H4+J4+L4+N4+P4+R4+T4+V4+X4+Z4+AB4</f>
        <v>0</v>
      </c>
    </row>
    <row r="5" spans="1:30" ht="12.75">
      <c r="A5" s="1010">
        <v>708500</v>
      </c>
      <c r="B5" s="971" t="s">
        <v>431</v>
      </c>
      <c r="C5" s="985"/>
      <c r="D5" s="1002"/>
      <c r="E5" s="986"/>
      <c r="F5" s="987"/>
      <c r="G5" s="986"/>
      <c r="H5" s="987"/>
      <c r="I5" s="988"/>
      <c r="J5" s="988"/>
      <c r="K5" s="988"/>
      <c r="L5" s="988"/>
      <c r="M5" s="988"/>
      <c r="N5" s="988"/>
      <c r="O5" s="988"/>
      <c r="P5" s="987"/>
      <c r="Q5" s="988"/>
      <c r="R5" s="988"/>
      <c r="S5" s="988"/>
      <c r="T5" s="988"/>
      <c r="U5" s="988"/>
      <c r="V5" s="988"/>
      <c r="W5" s="988"/>
      <c r="X5" s="988"/>
      <c r="Y5" s="988"/>
      <c r="Z5" s="988"/>
      <c r="AA5" s="988"/>
      <c r="AB5" s="988"/>
      <c r="AC5" s="989">
        <f aca="true" t="shared" si="0" ref="AC5:AC67">E5+G5+I5+K5+M5+O5+Q5+S5+U5+W5+Y5+AA5</f>
        <v>0</v>
      </c>
      <c r="AD5" s="987">
        <f aca="true" t="shared" si="1" ref="AD5:AD67">F5+H5+J5+L5+N5+P5+R5+T5+V5+X5+Z5+AB5</f>
        <v>0</v>
      </c>
    </row>
    <row r="6" spans="1:30" ht="12.75">
      <c r="A6" s="1010">
        <v>445710</v>
      </c>
      <c r="B6" s="971" t="s">
        <v>432</v>
      </c>
      <c r="C6" s="985"/>
      <c r="D6" s="1002"/>
      <c r="E6" s="986"/>
      <c r="F6" s="987"/>
      <c r="G6" s="986"/>
      <c r="H6" s="987"/>
      <c r="I6" s="988"/>
      <c r="J6" s="988"/>
      <c r="K6" s="988"/>
      <c r="L6" s="988"/>
      <c r="M6" s="988"/>
      <c r="N6" s="988"/>
      <c r="O6" s="988"/>
      <c r="P6" s="987"/>
      <c r="Q6" s="988"/>
      <c r="R6" s="988"/>
      <c r="S6" s="988"/>
      <c r="T6" s="988"/>
      <c r="U6" s="988"/>
      <c r="V6" s="988"/>
      <c r="W6" s="988"/>
      <c r="X6" s="988"/>
      <c r="Y6" s="988"/>
      <c r="Z6" s="988"/>
      <c r="AA6" s="988"/>
      <c r="AB6" s="988"/>
      <c r="AC6" s="989">
        <f t="shared" si="0"/>
        <v>0</v>
      </c>
      <c r="AD6" s="987">
        <f t="shared" si="1"/>
        <v>0</v>
      </c>
    </row>
    <row r="7" spans="1:30" ht="12.75">
      <c r="A7" s="1010">
        <v>419100</v>
      </c>
      <c r="B7" s="971" t="s">
        <v>433</v>
      </c>
      <c r="C7" s="985"/>
      <c r="D7" s="1002"/>
      <c r="E7" s="986"/>
      <c r="F7" s="987"/>
      <c r="G7" s="986"/>
      <c r="H7" s="987"/>
      <c r="I7" s="988"/>
      <c r="J7" s="988"/>
      <c r="K7" s="988"/>
      <c r="L7" s="988"/>
      <c r="M7" s="988"/>
      <c r="N7" s="988"/>
      <c r="O7" s="988"/>
      <c r="P7" s="987"/>
      <c r="Q7" s="988"/>
      <c r="R7" s="988"/>
      <c r="S7" s="988"/>
      <c r="T7" s="988"/>
      <c r="U7" s="988"/>
      <c r="V7" s="988"/>
      <c r="W7" s="988"/>
      <c r="X7" s="988"/>
      <c r="Y7" s="988"/>
      <c r="Z7" s="988"/>
      <c r="AA7" s="988"/>
      <c r="AB7" s="988"/>
      <c r="AC7" s="989">
        <f t="shared" si="0"/>
        <v>0</v>
      </c>
      <c r="AD7" s="987">
        <f t="shared" si="1"/>
        <v>0</v>
      </c>
    </row>
    <row r="8" spans="1:30" ht="12.75">
      <c r="A8" s="1010">
        <v>419100</v>
      </c>
      <c r="B8" s="971" t="s">
        <v>993</v>
      </c>
      <c r="C8" s="985"/>
      <c r="D8" s="1002"/>
      <c r="E8" s="986"/>
      <c r="F8" s="987"/>
      <c r="G8" s="986"/>
      <c r="H8" s="987"/>
      <c r="I8" s="988"/>
      <c r="J8" s="988"/>
      <c r="K8" s="988"/>
      <c r="L8" s="988"/>
      <c r="M8" s="988"/>
      <c r="N8" s="988"/>
      <c r="O8" s="988"/>
      <c r="P8" s="987"/>
      <c r="Q8" s="988"/>
      <c r="R8" s="988"/>
      <c r="S8" s="988"/>
      <c r="T8" s="988"/>
      <c r="U8" s="988"/>
      <c r="V8" s="988"/>
      <c r="W8" s="988"/>
      <c r="X8" s="988"/>
      <c r="Y8" s="988"/>
      <c r="Z8" s="988"/>
      <c r="AA8" s="988"/>
      <c r="AB8" s="988"/>
      <c r="AC8" s="989">
        <f t="shared" si="0"/>
        <v>0</v>
      </c>
      <c r="AD8" s="987">
        <f t="shared" si="1"/>
        <v>0</v>
      </c>
    </row>
    <row r="9" spans="1:30" ht="12.75">
      <c r="A9" s="1011">
        <v>709000</v>
      </c>
      <c r="B9" s="971" t="s">
        <v>434</v>
      </c>
      <c r="C9" s="985"/>
      <c r="D9" s="987"/>
      <c r="E9" s="989"/>
      <c r="F9" s="987"/>
      <c r="G9" s="989"/>
      <c r="H9" s="987"/>
      <c r="I9" s="988"/>
      <c r="J9" s="988"/>
      <c r="K9" s="988"/>
      <c r="L9" s="988"/>
      <c r="M9" s="988"/>
      <c r="N9" s="988"/>
      <c r="O9" s="988"/>
      <c r="P9" s="987"/>
      <c r="Q9" s="988"/>
      <c r="R9" s="988"/>
      <c r="S9" s="988"/>
      <c r="T9" s="988"/>
      <c r="U9" s="988"/>
      <c r="V9" s="988"/>
      <c r="W9" s="988"/>
      <c r="X9" s="988"/>
      <c r="Y9" s="988"/>
      <c r="Z9" s="988"/>
      <c r="AA9" s="988"/>
      <c r="AB9" s="988"/>
      <c r="AC9" s="989">
        <f t="shared" si="0"/>
        <v>0</v>
      </c>
      <c r="AD9" s="987">
        <f t="shared" si="1"/>
        <v>0</v>
      </c>
    </row>
    <row r="10" spans="1:30" ht="12.75">
      <c r="A10" s="1011">
        <v>665000</v>
      </c>
      <c r="B10" s="971" t="s">
        <v>435</v>
      </c>
      <c r="C10" s="985"/>
      <c r="D10" s="987"/>
      <c r="E10" s="989"/>
      <c r="F10" s="987"/>
      <c r="G10" s="989"/>
      <c r="H10" s="987"/>
      <c r="I10" s="988"/>
      <c r="J10" s="988"/>
      <c r="K10" s="988"/>
      <c r="L10" s="988"/>
      <c r="M10" s="988"/>
      <c r="N10" s="988"/>
      <c r="O10" s="988"/>
      <c r="P10" s="987"/>
      <c r="Q10" s="988"/>
      <c r="R10" s="988"/>
      <c r="S10" s="988"/>
      <c r="T10" s="988"/>
      <c r="U10" s="988"/>
      <c r="V10" s="988"/>
      <c r="W10" s="988"/>
      <c r="X10" s="988"/>
      <c r="Y10" s="988"/>
      <c r="Z10" s="988"/>
      <c r="AA10" s="988"/>
      <c r="AB10" s="988"/>
      <c r="AC10" s="989">
        <f t="shared" si="0"/>
        <v>0</v>
      </c>
      <c r="AD10" s="987">
        <f t="shared" si="1"/>
        <v>0</v>
      </c>
    </row>
    <row r="11" spans="1:30" ht="12.75">
      <c r="A11" s="1011">
        <v>411000</v>
      </c>
      <c r="B11" s="971" t="s">
        <v>436</v>
      </c>
      <c r="C11" s="985"/>
      <c r="D11" s="987"/>
      <c r="E11" s="989"/>
      <c r="F11" s="987"/>
      <c r="G11" s="989"/>
      <c r="H11" s="987"/>
      <c r="I11" s="988"/>
      <c r="J11" s="988"/>
      <c r="K11" s="988"/>
      <c r="L11" s="988"/>
      <c r="M11" s="988"/>
      <c r="N11" s="988"/>
      <c r="O11" s="988"/>
      <c r="P11" s="987"/>
      <c r="Q11" s="988"/>
      <c r="R11" s="988"/>
      <c r="S11" s="988"/>
      <c r="T11" s="988"/>
      <c r="U11" s="988"/>
      <c r="V11" s="988"/>
      <c r="W11" s="988"/>
      <c r="X11" s="988"/>
      <c r="Y11" s="988"/>
      <c r="Z11" s="988"/>
      <c r="AA11" s="988"/>
      <c r="AB11" s="988"/>
      <c r="AC11" s="989">
        <f t="shared" si="0"/>
        <v>0</v>
      </c>
      <c r="AD11" s="987">
        <f t="shared" si="1"/>
        <v>0</v>
      </c>
    </row>
    <row r="12" spans="1:30" ht="12.75">
      <c r="A12" s="1011"/>
      <c r="B12" s="971" t="s">
        <v>1165</v>
      </c>
      <c r="C12" s="990"/>
      <c r="D12" s="993"/>
      <c r="E12" s="992"/>
      <c r="F12" s="993"/>
      <c r="G12" s="992"/>
      <c r="H12" s="993"/>
      <c r="I12" s="991"/>
      <c r="J12" s="991"/>
      <c r="K12" s="991"/>
      <c r="L12" s="991"/>
      <c r="M12" s="991"/>
      <c r="N12" s="991"/>
      <c r="O12" s="991"/>
      <c r="P12" s="993"/>
      <c r="Q12" s="991"/>
      <c r="R12" s="991"/>
      <c r="S12" s="991"/>
      <c r="T12" s="991"/>
      <c r="U12" s="991"/>
      <c r="V12" s="991"/>
      <c r="W12" s="991"/>
      <c r="X12" s="991"/>
      <c r="Y12" s="991"/>
      <c r="Z12" s="991"/>
      <c r="AA12" s="991"/>
      <c r="AB12" s="991"/>
      <c r="AC12" s="992">
        <f t="shared" si="0"/>
        <v>0</v>
      </c>
      <c r="AD12" s="993">
        <f t="shared" si="1"/>
        <v>0</v>
      </c>
    </row>
    <row r="13" spans="1:30" ht="12.75">
      <c r="A13" s="1011">
        <v>607000</v>
      </c>
      <c r="B13" s="971" t="s">
        <v>1179</v>
      </c>
      <c r="C13" s="981"/>
      <c r="D13" s="983"/>
      <c r="E13" s="994"/>
      <c r="F13" s="983"/>
      <c r="G13" s="994"/>
      <c r="H13" s="983"/>
      <c r="I13" s="984"/>
      <c r="J13" s="984"/>
      <c r="K13" s="984"/>
      <c r="L13" s="984"/>
      <c r="M13" s="984"/>
      <c r="N13" s="984"/>
      <c r="O13" s="984"/>
      <c r="P13" s="983"/>
      <c r="Q13" s="984"/>
      <c r="R13" s="984"/>
      <c r="S13" s="984"/>
      <c r="T13" s="984"/>
      <c r="U13" s="984"/>
      <c r="V13" s="984"/>
      <c r="W13" s="984"/>
      <c r="X13" s="984"/>
      <c r="Y13" s="984"/>
      <c r="Z13" s="984"/>
      <c r="AA13" s="984"/>
      <c r="AB13" s="984"/>
      <c r="AC13" s="994">
        <f t="shared" si="0"/>
        <v>0</v>
      </c>
      <c r="AD13" s="983">
        <f t="shared" si="1"/>
        <v>0</v>
      </c>
    </row>
    <row r="14" spans="1:30" ht="12.75">
      <c r="A14" s="1011">
        <v>601000</v>
      </c>
      <c r="B14" s="971" t="s">
        <v>437</v>
      </c>
      <c r="C14" s="985"/>
      <c r="D14" s="987"/>
      <c r="E14" s="989"/>
      <c r="F14" s="987"/>
      <c r="G14" s="989"/>
      <c r="H14" s="987"/>
      <c r="I14" s="988"/>
      <c r="J14" s="988"/>
      <c r="K14" s="988"/>
      <c r="L14" s="988"/>
      <c r="M14" s="988"/>
      <c r="N14" s="988"/>
      <c r="O14" s="988"/>
      <c r="P14" s="987"/>
      <c r="Q14" s="988"/>
      <c r="R14" s="988"/>
      <c r="S14" s="988"/>
      <c r="T14" s="988"/>
      <c r="U14" s="988"/>
      <c r="V14" s="988"/>
      <c r="W14" s="988"/>
      <c r="X14" s="988"/>
      <c r="Y14" s="988"/>
      <c r="Z14" s="988"/>
      <c r="AA14" s="988"/>
      <c r="AB14" s="988"/>
      <c r="AC14" s="989">
        <f t="shared" si="0"/>
        <v>0</v>
      </c>
      <c r="AD14" s="987">
        <f t="shared" si="1"/>
        <v>0</v>
      </c>
    </row>
    <row r="15" spans="1:30" ht="12.75">
      <c r="A15" s="1011">
        <v>602000</v>
      </c>
      <c r="B15" s="971" t="s">
        <v>438</v>
      </c>
      <c r="C15" s="985"/>
      <c r="D15" s="987"/>
      <c r="E15" s="989"/>
      <c r="F15" s="987"/>
      <c r="G15" s="989"/>
      <c r="H15" s="987"/>
      <c r="I15" s="988"/>
      <c r="J15" s="988"/>
      <c r="K15" s="988"/>
      <c r="L15" s="988"/>
      <c r="M15" s="988"/>
      <c r="N15" s="988"/>
      <c r="O15" s="988"/>
      <c r="P15" s="987"/>
      <c r="Q15" s="988"/>
      <c r="R15" s="988"/>
      <c r="S15" s="988"/>
      <c r="T15" s="988"/>
      <c r="U15" s="988"/>
      <c r="V15" s="988"/>
      <c r="W15" s="988"/>
      <c r="X15" s="988"/>
      <c r="Y15" s="988"/>
      <c r="Z15" s="988"/>
      <c r="AA15" s="988"/>
      <c r="AB15" s="988"/>
      <c r="AC15" s="989">
        <f t="shared" si="0"/>
        <v>0</v>
      </c>
      <c r="AD15" s="987">
        <f t="shared" si="1"/>
        <v>0</v>
      </c>
    </row>
    <row r="16" spans="1:30" ht="12.75">
      <c r="A16" s="1011"/>
      <c r="B16" s="971" t="s">
        <v>439</v>
      </c>
      <c r="C16" s="985"/>
      <c r="D16" s="987"/>
      <c r="E16" s="989"/>
      <c r="F16" s="987"/>
      <c r="G16" s="989"/>
      <c r="H16" s="987"/>
      <c r="I16" s="988"/>
      <c r="J16" s="988"/>
      <c r="K16" s="988"/>
      <c r="L16" s="988"/>
      <c r="M16" s="988"/>
      <c r="N16" s="988"/>
      <c r="O16" s="988"/>
      <c r="P16" s="987"/>
      <c r="Q16" s="988"/>
      <c r="R16" s="988"/>
      <c r="S16" s="988"/>
      <c r="T16" s="988"/>
      <c r="U16" s="988"/>
      <c r="V16" s="988"/>
      <c r="W16" s="988"/>
      <c r="X16" s="988"/>
      <c r="Y16" s="988"/>
      <c r="Z16" s="988"/>
      <c r="AA16" s="988"/>
      <c r="AB16" s="988"/>
      <c r="AC16" s="989">
        <f t="shared" si="0"/>
        <v>0</v>
      </c>
      <c r="AD16" s="987">
        <f t="shared" si="1"/>
        <v>0</v>
      </c>
    </row>
    <row r="17" spans="1:30" ht="12.75">
      <c r="A17" s="1011">
        <v>624200</v>
      </c>
      <c r="B17" s="971" t="s">
        <v>440</v>
      </c>
      <c r="C17" s="985"/>
      <c r="D17" s="987"/>
      <c r="E17" s="989"/>
      <c r="F17" s="987"/>
      <c r="G17" s="989"/>
      <c r="H17" s="987"/>
      <c r="I17" s="988"/>
      <c r="J17" s="988"/>
      <c r="K17" s="988"/>
      <c r="L17" s="988"/>
      <c r="M17" s="988"/>
      <c r="N17" s="988"/>
      <c r="O17" s="988"/>
      <c r="P17" s="987"/>
      <c r="Q17" s="988"/>
      <c r="R17" s="988"/>
      <c r="S17" s="988"/>
      <c r="T17" s="988"/>
      <c r="U17" s="988"/>
      <c r="V17" s="988"/>
      <c r="W17" s="988"/>
      <c r="X17" s="988"/>
      <c r="Y17" s="988"/>
      <c r="Z17" s="988"/>
      <c r="AA17" s="988"/>
      <c r="AB17" s="988"/>
      <c r="AC17" s="989">
        <f t="shared" si="0"/>
        <v>0</v>
      </c>
      <c r="AD17" s="987">
        <f t="shared" si="1"/>
        <v>0</v>
      </c>
    </row>
    <row r="18" spans="1:30" ht="12.75">
      <c r="A18" s="1011">
        <v>445660</v>
      </c>
      <c r="B18" s="971" t="s">
        <v>441</v>
      </c>
      <c r="C18" s="985"/>
      <c r="D18" s="987"/>
      <c r="E18" s="989"/>
      <c r="F18" s="987"/>
      <c r="G18" s="989"/>
      <c r="H18" s="987"/>
      <c r="I18" s="988"/>
      <c r="J18" s="988"/>
      <c r="K18" s="988"/>
      <c r="L18" s="988"/>
      <c r="M18" s="988"/>
      <c r="N18" s="988"/>
      <c r="O18" s="988"/>
      <c r="P18" s="987"/>
      <c r="Q18" s="988"/>
      <c r="R18" s="988"/>
      <c r="S18" s="988"/>
      <c r="T18" s="988"/>
      <c r="U18" s="988"/>
      <c r="V18" s="988"/>
      <c r="W18" s="988"/>
      <c r="X18" s="988"/>
      <c r="Y18" s="988"/>
      <c r="Z18" s="988"/>
      <c r="AA18" s="988"/>
      <c r="AB18" s="988"/>
      <c r="AC18" s="989">
        <f t="shared" si="0"/>
        <v>0</v>
      </c>
      <c r="AD18" s="987">
        <f t="shared" si="1"/>
        <v>0</v>
      </c>
    </row>
    <row r="19" spans="1:30" ht="12.75">
      <c r="A19" s="1011">
        <v>409600</v>
      </c>
      <c r="B19" s="971" t="s">
        <v>433</v>
      </c>
      <c r="C19" s="985"/>
      <c r="D19" s="987"/>
      <c r="E19" s="989"/>
      <c r="F19" s="987"/>
      <c r="G19" s="989"/>
      <c r="H19" s="987"/>
      <c r="I19" s="988"/>
      <c r="J19" s="988"/>
      <c r="K19" s="988"/>
      <c r="L19" s="988"/>
      <c r="M19" s="988"/>
      <c r="N19" s="988"/>
      <c r="O19" s="988"/>
      <c r="P19" s="987"/>
      <c r="Q19" s="988"/>
      <c r="R19" s="988"/>
      <c r="S19" s="988"/>
      <c r="T19" s="988"/>
      <c r="U19" s="988"/>
      <c r="V19" s="988"/>
      <c r="W19" s="988"/>
      <c r="X19" s="988"/>
      <c r="Y19" s="988"/>
      <c r="Z19" s="988"/>
      <c r="AA19" s="988"/>
      <c r="AB19" s="988"/>
      <c r="AC19" s="989">
        <f t="shared" si="0"/>
        <v>0</v>
      </c>
      <c r="AD19" s="987">
        <f t="shared" si="1"/>
        <v>0</v>
      </c>
    </row>
    <row r="20" spans="1:30" ht="12.75">
      <c r="A20" s="1011">
        <v>238000</v>
      </c>
      <c r="B20" s="971" t="s">
        <v>132</v>
      </c>
      <c r="C20" s="985"/>
      <c r="D20" s="987"/>
      <c r="E20" s="989"/>
      <c r="F20" s="987"/>
      <c r="G20" s="989"/>
      <c r="H20" s="987"/>
      <c r="I20" s="988"/>
      <c r="J20" s="988"/>
      <c r="K20" s="988"/>
      <c r="L20" s="988"/>
      <c r="M20" s="988"/>
      <c r="N20" s="988"/>
      <c r="O20" s="988"/>
      <c r="P20" s="987"/>
      <c r="Q20" s="988"/>
      <c r="R20" s="988"/>
      <c r="S20" s="988"/>
      <c r="T20" s="988"/>
      <c r="U20" s="988"/>
      <c r="V20" s="988"/>
      <c r="W20" s="988"/>
      <c r="X20" s="988"/>
      <c r="Y20" s="988"/>
      <c r="Z20" s="988"/>
      <c r="AA20" s="988"/>
      <c r="AB20" s="988"/>
      <c r="AC20" s="989">
        <f t="shared" si="0"/>
        <v>0</v>
      </c>
      <c r="AD20" s="987">
        <f t="shared" si="1"/>
        <v>0</v>
      </c>
    </row>
    <row r="21" spans="1:30" ht="12.75">
      <c r="A21" s="1011">
        <v>609000</v>
      </c>
      <c r="B21" s="971" t="s">
        <v>442</v>
      </c>
      <c r="C21" s="985"/>
      <c r="D21" s="987"/>
      <c r="E21" s="989"/>
      <c r="F21" s="987"/>
      <c r="G21" s="989"/>
      <c r="H21" s="987"/>
      <c r="I21" s="988"/>
      <c r="J21" s="988"/>
      <c r="K21" s="988"/>
      <c r="L21" s="988"/>
      <c r="M21" s="988"/>
      <c r="N21" s="988"/>
      <c r="O21" s="988"/>
      <c r="P21" s="987"/>
      <c r="Q21" s="988"/>
      <c r="R21" s="988"/>
      <c r="S21" s="988"/>
      <c r="T21" s="988"/>
      <c r="U21" s="988"/>
      <c r="V21" s="988"/>
      <c r="W21" s="988"/>
      <c r="X21" s="988"/>
      <c r="Y21" s="988"/>
      <c r="Z21" s="988"/>
      <c r="AA21" s="988"/>
      <c r="AB21" s="988"/>
      <c r="AC21" s="989">
        <f t="shared" si="0"/>
        <v>0</v>
      </c>
      <c r="AD21" s="987">
        <f t="shared" si="1"/>
        <v>0</v>
      </c>
    </row>
    <row r="22" spans="1:30" ht="12.75">
      <c r="A22" s="1010"/>
      <c r="B22" s="971" t="s">
        <v>504</v>
      </c>
      <c r="C22" s="985"/>
      <c r="D22" s="1002"/>
      <c r="E22" s="986"/>
      <c r="F22" s="987"/>
      <c r="G22" s="986"/>
      <c r="H22" s="987"/>
      <c r="I22" s="988"/>
      <c r="J22" s="988"/>
      <c r="K22" s="988"/>
      <c r="L22" s="988"/>
      <c r="M22" s="988"/>
      <c r="N22" s="988"/>
      <c r="O22" s="988"/>
      <c r="P22" s="987"/>
      <c r="Q22" s="988"/>
      <c r="R22" s="988"/>
      <c r="S22" s="988"/>
      <c r="T22" s="988"/>
      <c r="U22" s="988"/>
      <c r="V22" s="988"/>
      <c r="W22" s="988"/>
      <c r="X22" s="988"/>
      <c r="Y22" s="988"/>
      <c r="Z22" s="988"/>
      <c r="AA22" s="988"/>
      <c r="AB22" s="988"/>
      <c r="AC22" s="989">
        <f t="shared" si="0"/>
        <v>0</v>
      </c>
      <c r="AD22" s="987">
        <f t="shared" si="1"/>
        <v>0</v>
      </c>
    </row>
    <row r="23" spans="1:30" ht="12.75">
      <c r="A23" s="1011">
        <v>765000</v>
      </c>
      <c r="B23" s="971" t="s">
        <v>443</v>
      </c>
      <c r="C23" s="985"/>
      <c r="D23" s="987"/>
      <c r="E23" s="989"/>
      <c r="F23" s="987"/>
      <c r="G23" s="989"/>
      <c r="H23" s="987"/>
      <c r="I23" s="988"/>
      <c r="J23" s="988"/>
      <c r="K23" s="988"/>
      <c r="L23" s="988"/>
      <c r="M23" s="988"/>
      <c r="N23" s="988"/>
      <c r="O23" s="988"/>
      <c r="P23" s="987"/>
      <c r="Q23" s="988"/>
      <c r="R23" s="988"/>
      <c r="S23" s="988"/>
      <c r="T23" s="988"/>
      <c r="U23" s="988"/>
      <c r="V23" s="988"/>
      <c r="W23" s="988"/>
      <c r="X23" s="988"/>
      <c r="Y23" s="988"/>
      <c r="Z23" s="988"/>
      <c r="AA23" s="988"/>
      <c r="AB23" s="988"/>
      <c r="AC23" s="989">
        <f t="shared" si="0"/>
        <v>0</v>
      </c>
      <c r="AD23" s="987">
        <f t="shared" si="1"/>
        <v>0</v>
      </c>
    </row>
    <row r="24" spans="1:30" ht="12.75">
      <c r="A24" s="1011">
        <v>401700</v>
      </c>
      <c r="B24" s="971" t="s">
        <v>444</v>
      </c>
      <c r="C24" s="985"/>
      <c r="D24" s="987"/>
      <c r="E24" s="989"/>
      <c r="F24" s="987"/>
      <c r="G24" s="989"/>
      <c r="H24" s="987"/>
      <c r="I24" s="988"/>
      <c r="J24" s="988"/>
      <c r="K24" s="988"/>
      <c r="L24" s="988"/>
      <c r="M24" s="988"/>
      <c r="N24" s="988"/>
      <c r="O24" s="988"/>
      <c r="P24" s="987"/>
      <c r="Q24" s="988"/>
      <c r="R24" s="988"/>
      <c r="S24" s="988"/>
      <c r="T24" s="988"/>
      <c r="U24" s="988"/>
      <c r="V24" s="988"/>
      <c r="W24" s="988"/>
      <c r="X24" s="988"/>
      <c r="Y24" s="988"/>
      <c r="Z24" s="988"/>
      <c r="AA24" s="988"/>
      <c r="AB24" s="988"/>
      <c r="AC24" s="989">
        <f t="shared" si="0"/>
        <v>0</v>
      </c>
      <c r="AD24" s="987">
        <f t="shared" si="1"/>
        <v>0</v>
      </c>
    </row>
    <row r="25" spans="1:30" ht="12.75">
      <c r="A25" s="1011">
        <v>401200</v>
      </c>
      <c r="B25" s="971" t="s">
        <v>445</v>
      </c>
      <c r="C25" s="985"/>
      <c r="D25" s="987"/>
      <c r="E25" s="989"/>
      <c r="F25" s="987"/>
      <c r="G25" s="989"/>
      <c r="H25" s="987"/>
      <c r="I25" s="988"/>
      <c r="J25" s="988"/>
      <c r="K25" s="988"/>
      <c r="L25" s="988"/>
      <c r="M25" s="988"/>
      <c r="N25" s="988"/>
      <c r="O25" s="988"/>
      <c r="P25" s="987"/>
      <c r="Q25" s="988"/>
      <c r="R25" s="988"/>
      <c r="S25" s="988"/>
      <c r="T25" s="988"/>
      <c r="U25" s="988"/>
      <c r="V25" s="988"/>
      <c r="W25" s="988"/>
      <c r="X25" s="988"/>
      <c r="Y25" s="988"/>
      <c r="Z25" s="988"/>
      <c r="AA25" s="988"/>
      <c r="AB25" s="988"/>
      <c r="AC25" s="989">
        <f t="shared" si="0"/>
        <v>0</v>
      </c>
      <c r="AD25" s="987">
        <f t="shared" si="1"/>
        <v>0</v>
      </c>
    </row>
    <row r="26" spans="1:30" ht="12.75">
      <c r="A26" s="1011">
        <v>401121</v>
      </c>
      <c r="B26" s="971" t="s">
        <v>446</v>
      </c>
      <c r="C26" s="985"/>
      <c r="D26" s="987"/>
      <c r="E26" s="989"/>
      <c r="F26" s="987"/>
      <c r="G26" s="989"/>
      <c r="H26" s="987"/>
      <c r="I26" s="988"/>
      <c r="J26" s="988"/>
      <c r="K26" s="988"/>
      <c r="L26" s="988"/>
      <c r="M26" s="988"/>
      <c r="N26" s="988"/>
      <c r="O26" s="988"/>
      <c r="P26" s="987"/>
      <c r="Q26" s="988"/>
      <c r="R26" s="988"/>
      <c r="S26" s="988"/>
      <c r="T26" s="988"/>
      <c r="U26" s="988"/>
      <c r="V26" s="988"/>
      <c r="W26" s="988"/>
      <c r="X26" s="988"/>
      <c r="Y26" s="988"/>
      <c r="Z26" s="988"/>
      <c r="AA26" s="988"/>
      <c r="AB26" s="988"/>
      <c r="AC26" s="989">
        <f t="shared" si="0"/>
        <v>0</v>
      </c>
      <c r="AD26" s="987">
        <f t="shared" si="1"/>
        <v>0</v>
      </c>
    </row>
    <row r="27" spans="1:30" ht="12.75">
      <c r="A27" s="1011">
        <v>401122</v>
      </c>
      <c r="B27" s="971" t="s">
        <v>447</v>
      </c>
      <c r="C27" s="985"/>
      <c r="D27" s="987"/>
      <c r="E27" s="989"/>
      <c r="F27" s="987"/>
      <c r="G27" s="989"/>
      <c r="H27" s="987"/>
      <c r="I27" s="988"/>
      <c r="J27" s="988"/>
      <c r="K27" s="988"/>
      <c r="L27" s="988"/>
      <c r="M27" s="988"/>
      <c r="N27" s="988"/>
      <c r="O27" s="988"/>
      <c r="P27" s="987"/>
      <c r="Q27" s="988"/>
      <c r="R27" s="988"/>
      <c r="S27" s="988"/>
      <c r="T27" s="988"/>
      <c r="U27" s="988"/>
      <c r="V27" s="988"/>
      <c r="W27" s="988"/>
      <c r="X27" s="988"/>
      <c r="Y27" s="988"/>
      <c r="Z27" s="988"/>
      <c r="AA27" s="988"/>
      <c r="AB27" s="988"/>
      <c r="AC27" s="989">
        <f t="shared" si="0"/>
        <v>0</v>
      </c>
      <c r="AD27" s="987">
        <f t="shared" si="1"/>
        <v>0</v>
      </c>
    </row>
    <row r="28" spans="1:30" ht="12.75">
      <c r="A28" s="1011">
        <v>401123</v>
      </c>
      <c r="B28" s="971" t="s">
        <v>448</v>
      </c>
      <c r="C28" s="985"/>
      <c r="D28" s="987"/>
      <c r="E28" s="989"/>
      <c r="F28" s="987"/>
      <c r="G28" s="989"/>
      <c r="H28" s="987"/>
      <c r="I28" s="988"/>
      <c r="J28" s="988"/>
      <c r="K28" s="988"/>
      <c r="L28" s="988"/>
      <c r="M28" s="988"/>
      <c r="N28" s="988"/>
      <c r="O28" s="988"/>
      <c r="P28" s="987"/>
      <c r="Q28" s="988"/>
      <c r="R28" s="988"/>
      <c r="S28" s="988"/>
      <c r="T28" s="988"/>
      <c r="U28" s="988"/>
      <c r="V28" s="988"/>
      <c r="W28" s="988"/>
      <c r="X28" s="988"/>
      <c r="Y28" s="988"/>
      <c r="Z28" s="988"/>
      <c r="AA28" s="988"/>
      <c r="AB28" s="988"/>
      <c r="AC28" s="989">
        <f t="shared" si="0"/>
        <v>0</v>
      </c>
      <c r="AD28" s="987">
        <f t="shared" si="1"/>
        <v>0</v>
      </c>
    </row>
    <row r="29" spans="1:30" ht="12.75">
      <c r="A29" s="1011">
        <v>401100</v>
      </c>
      <c r="B29" s="971" t="s">
        <v>449</v>
      </c>
      <c r="C29" s="985"/>
      <c r="D29" s="987"/>
      <c r="E29" s="989"/>
      <c r="F29" s="987"/>
      <c r="G29" s="989"/>
      <c r="H29" s="987"/>
      <c r="I29" s="988"/>
      <c r="J29" s="988"/>
      <c r="K29" s="988"/>
      <c r="L29" s="988"/>
      <c r="M29" s="988"/>
      <c r="N29" s="988"/>
      <c r="O29" s="988"/>
      <c r="P29" s="987"/>
      <c r="Q29" s="988"/>
      <c r="R29" s="988"/>
      <c r="S29" s="988"/>
      <c r="T29" s="988"/>
      <c r="U29" s="988"/>
      <c r="V29" s="988"/>
      <c r="W29" s="988"/>
      <c r="X29" s="988"/>
      <c r="Y29" s="988"/>
      <c r="Z29" s="988"/>
      <c r="AA29" s="988"/>
      <c r="AB29" s="988"/>
      <c r="AC29" s="989">
        <f t="shared" si="0"/>
        <v>0</v>
      </c>
      <c r="AD29" s="987">
        <f t="shared" si="1"/>
        <v>0</v>
      </c>
    </row>
    <row r="30" spans="1:30" ht="12.75">
      <c r="A30" s="1011"/>
      <c r="B30" s="971" t="s">
        <v>450</v>
      </c>
      <c r="C30" s="985"/>
      <c r="D30" s="987"/>
      <c r="E30" s="989"/>
      <c r="F30" s="987"/>
      <c r="G30" s="989"/>
      <c r="H30" s="987"/>
      <c r="I30" s="988"/>
      <c r="J30" s="988"/>
      <c r="K30" s="988"/>
      <c r="L30" s="988"/>
      <c r="M30" s="988"/>
      <c r="N30" s="988"/>
      <c r="O30" s="988"/>
      <c r="P30" s="987"/>
      <c r="Q30" s="988"/>
      <c r="R30" s="988"/>
      <c r="S30" s="988"/>
      <c r="T30" s="988"/>
      <c r="U30" s="988"/>
      <c r="V30" s="988"/>
      <c r="W30" s="988"/>
      <c r="X30" s="988"/>
      <c r="Y30" s="988"/>
      <c r="Z30" s="988"/>
      <c r="AA30" s="988"/>
      <c r="AB30" s="988"/>
      <c r="AC30" s="989">
        <f t="shared" si="0"/>
        <v>0</v>
      </c>
      <c r="AD30" s="987">
        <f t="shared" si="1"/>
        <v>0</v>
      </c>
    </row>
    <row r="31" spans="1:30" ht="12.75">
      <c r="A31" s="1012"/>
      <c r="B31" s="1006" t="s">
        <v>504</v>
      </c>
      <c r="C31" s="990"/>
      <c r="D31" s="993"/>
      <c r="E31" s="992"/>
      <c r="F31" s="993"/>
      <c r="G31" s="992"/>
      <c r="H31" s="993"/>
      <c r="I31" s="991"/>
      <c r="J31" s="991"/>
      <c r="K31" s="991"/>
      <c r="L31" s="991"/>
      <c r="M31" s="991"/>
      <c r="N31" s="991"/>
      <c r="O31" s="991"/>
      <c r="P31" s="993"/>
      <c r="Q31" s="991"/>
      <c r="R31" s="991"/>
      <c r="S31" s="991"/>
      <c r="T31" s="991"/>
      <c r="U31" s="991"/>
      <c r="V31" s="991"/>
      <c r="W31" s="991"/>
      <c r="X31" s="991"/>
      <c r="Y31" s="991"/>
      <c r="Z31" s="991"/>
      <c r="AA31" s="991"/>
      <c r="AB31" s="991"/>
      <c r="AC31" s="992">
        <f t="shared" si="0"/>
        <v>0</v>
      </c>
      <c r="AD31" s="993">
        <f t="shared" si="1"/>
        <v>0</v>
      </c>
    </row>
    <row r="32" spans="1:30" ht="12.75">
      <c r="A32" s="1013"/>
      <c r="B32" s="995" t="s">
        <v>511</v>
      </c>
      <c r="C32" s="808" t="s">
        <v>196</v>
      </c>
      <c r="D32" s="996" t="s">
        <v>424</v>
      </c>
      <c r="E32" s="808"/>
      <c r="F32" s="996"/>
      <c r="G32" s="808"/>
      <c r="H32" s="996"/>
      <c r="I32" s="995"/>
      <c r="J32" s="995"/>
      <c r="K32" s="995"/>
      <c r="L32" s="995"/>
      <c r="M32" s="995"/>
      <c r="N32" s="995"/>
      <c r="O32" s="995"/>
      <c r="P32" s="996"/>
      <c r="Q32" s="995"/>
      <c r="R32" s="995"/>
      <c r="S32" s="995"/>
      <c r="T32" s="995"/>
      <c r="U32" s="995"/>
      <c r="V32" s="995"/>
      <c r="W32" s="995"/>
      <c r="X32" s="995"/>
      <c r="Y32" s="995"/>
      <c r="Z32" s="995"/>
      <c r="AA32" s="995"/>
      <c r="AB32" s="995"/>
      <c r="AC32" s="808">
        <f t="shared" si="0"/>
        <v>0</v>
      </c>
      <c r="AD32" s="996">
        <f t="shared" si="1"/>
        <v>0</v>
      </c>
    </row>
    <row r="33" spans="1:30" ht="12.75">
      <c r="A33" s="1014"/>
      <c r="B33" s="1000"/>
      <c r="C33" s="591"/>
      <c r="D33" s="537"/>
      <c r="E33" s="168"/>
      <c r="F33" s="170"/>
      <c r="G33" s="168"/>
      <c r="H33" s="170"/>
      <c r="I33" s="161"/>
      <c r="J33" s="161"/>
      <c r="K33" s="161"/>
      <c r="L33" s="161"/>
      <c r="M33" s="161"/>
      <c r="N33" s="161"/>
      <c r="O33" s="161"/>
      <c r="P33" s="170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8">
        <f t="shared" si="0"/>
        <v>0</v>
      </c>
      <c r="AD33" s="170">
        <f t="shared" si="1"/>
        <v>0</v>
      </c>
    </row>
    <row r="34" spans="1:30" ht="12.75">
      <c r="A34" s="1015"/>
      <c r="B34" s="964"/>
      <c r="C34" s="969"/>
      <c r="D34" s="1003"/>
      <c r="E34" s="997"/>
      <c r="F34" s="970"/>
      <c r="G34" s="997"/>
      <c r="H34" s="970"/>
      <c r="I34" s="965"/>
      <c r="J34" s="965"/>
      <c r="K34" s="965"/>
      <c r="L34" s="965"/>
      <c r="M34" s="965"/>
      <c r="N34" s="965"/>
      <c r="O34" s="965"/>
      <c r="P34" s="970"/>
      <c r="Q34" s="965"/>
      <c r="R34" s="965"/>
      <c r="S34" s="965"/>
      <c r="T34" s="965"/>
      <c r="U34" s="965"/>
      <c r="V34" s="965"/>
      <c r="W34" s="965"/>
      <c r="X34" s="965"/>
      <c r="Y34" s="965"/>
      <c r="Z34" s="965"/>
      <c r="AA34" s="965"/>
      <c r="AB34" s="965"/>
      <c r="AC34" s="997">
        <f t="shared" si="0"/>
        <v>0</v>
      </c>
      <c r="AD34" s="970">
        <f t="shared" si="1"/>
        <v>0</v>
      </c>
    </row>
    <row r="35" spans="1:30" ht="12.75">
      <c r="A35" s="1016"/>
      <c r="B35" s="966"/>
      <c r="C35" s="972"/>
      <c r="D35" s="999"/>
      <c r="E35" s="974"/>
      <c r="F35" s="973"/>
      <c r="G35" s="974"/>
      <c r="H35" s="973"/>
      <c r="I35" s="967"/>
      <c r="J35" s="967"/>
      <c r="K35" s="967"/>
      <c r="L35" s="967"/>
      <c r="M35" s="967"/>
      <c r="N35" s="967"/>
      <c r="O35" s="967"/>
      <c r="P35" s="973"/>
      <c r="Q35" s="967"/>
      <c r="R35" s="967"/>
      <c r="S35" s="967"/>
      <c r="T35" s="967"/>
      <c r="U35" s="967"/>
      <c r="V35" s="967"/>
      <c r="W35" s="967"/>
      <c r="X35" s="967"/>
      <c r="Y35" s="967"/>
      <c r="Z35" s="967"/>
      <c r="AA35" s="967"/>
      <c r="AB35" s="967"/>
      <c r="AC35" s="974">
        <f t="shared" si="0"/>
        <v>0</v>
      </c>
      <c r="AD35" s="973">
        <f t="shared" si="1"/>
        <v>0</v>
      </c>
    </row>
    <row r="36" spans="1:30" ht="12.75">
      <c r="A36" s="1016"/>
      <c r="B36" s="966"/>
      <c r="C36" s="972"/>
      <c r="D36" s="999"/>
      <c r="E36" s="974"/>
      <c r="F36" s="973"/>
      <c r="G36" s="974"/>
      <c r="H36" s="973"/>
      <c r="I36" s="967"/>
      <c r="J36" s="967"/>
      <c r="K36" s="967"/>
      <c r="L36" s="967"/>
      <c r="M36" s="967"/>
      <c r="N36" s="967"/>
      <c r="O36" s="967"/>
      <c r="P36" s="973"/>
      <c r="Q36" s="967"/>
      <c r="R36" s="967"/>
      <c r="S36" s="967"/>
      <c r="T36" s="967"/>
      <c r="U36" s="967"/>
      <c r="V36" s="967"/>
      <c r="W36" s="967"/>
      <c r="X36" s="967"/>
      <c r="Y36" s="967"/>
      <c r="Z36" s="967"/>
      <c r="AA36" s="967"/>
      <c r="AB36" s="967"/>
      <c r="AC36" s="974">
        <f t="shared" si="0"/>
        <v>0</v>
      </c>
      <c r="AD36" s="973">
        <f t="shared" si="1"/>
        <v>0</v>
      </c>
    </row>
    <row r="37" spans="1:30" ht="12.75">
      <c r="A37" s="1016"/>
      <c r="B37" s="966"/>
      <c r="C37" s="972"/>
      <c r="D37" s="999"/>
      <c r="E37" s="974"/>
      <c r="F37" s="973"/>
      <c r="G37" s="974"/>
      <c r="H37" s="973"/>
      <c r="I37" s="967"/>
      <c r="J37" s="967"/>
      <c r="K37" s="967"/>
      <c r="L37" s="967"/>
      <c r="M37" s="967"/>
      <c r="N37" s="967"/>
      <c r="O37" s="967"/>
      <c r="P37" s="973"/>
      <c r="Q37" s="967"/>
      <c r="R37" s="967"/>
      <c r="S37" s="967"/>
      <c r="T37" s="967"/>
      <c r="U37" s="967"/>
      <c r="V37" s="967"/>
      <c r="W37" s="967"/>
      <c r="X37" s="967"/>
      <c r="Y37" s="967"/>
      <c r="Z37" s="967"/>
      <c r="AA37" s="967"/>
      <c r="AB37" s="967"/>
      <c r="AC37" s="974">
        <f t="shared" si="0"/>
        <v>0</v>
      </c>
      <c r="AD37" s="973">
        <f t="shared" si="1"/>
        <v>0</v>
      </c>
    </row>
    <row r="38" spans="1:30" ht="12.75">
      <c r="A38" s="1016"/>
      <c r="B38" s="966"/>
      <c r="C38" s="972"/>
      <c r="D38" s="999"/>
      <c r="E38" s="974"/>
      <c r="F38" s="973"/>
      <c r="G38" s="974"/>
      <c r="H38" s="973"/>
      <c r="I38" s="967"/>
      <c r="J38" s="967"/>
      <c r="K38" s="967"/>
      <c r="L38" s="967"/>
      <c r="M38" s="967"/>
      <c r="N38" s="967"/>
      <c r="O38" s="967"/>
      <c r="P38" s="973"/>
      <c r="Q38" s="967"/>
      <c r="R38" s="967"/>
      <c r="S38" s="967"/>
      <c r="T38" s="967"/>
      <c r="U38" s="967"/>
      <c r="V38" s="967"/>
      <c r="W38" s="967"/>
      <c r="X38" s="967"/>
      <c r="Y38" s="967"/>
      <c r="Z38" s="967"/>
      <c r="AA38" s="967"/>
      <c r="AB38" s="967"/>
      <c r="AC38" s="974">
        <f t="shared" si="0"/>
        <v>0</v>
      </c>
      <c r="AD38" s="973">
        <f t="shared" si="1"/>
        <v>0</v>
      </c>
    </row>
    <row r="39" spans="1:30" ht="12.75">
      <c r="A39" s="1016"/>
      <c r="B39" s="966"/>
      <c r="C39" s="972"/>
      <c r="D39" s="999"/>
      <c r="E39" s="974"/>
      <c r="F39" s="973"/>
      <c r="G39" s="974"/>
      <c r="H39" s="973"/>
      <c r="I39" s="967"/>
      <c r="J39" s="967"/>
      <c r="K39" s="967"/>
      <c r="L39" s="967"/>
      <c r="M39" s="967"/>
      <c r="N39" s="967"/>
      <c r="O39" s="967"/>
      <c r="P39" s="973"/>
      <c r="Q39" s="967"/>
      <c r="R39" s="967"/>
      <c r="S39" s="967"/>
      <c r="T39" s="967"/>
      <c r="U39" s="967"/>
      <c r="V39" s="967"/>
      <c r="W39" s="967"/>
      <c r="X39" s="967"/>
      <c r="Y39" s="967"/>
      <c r="Z39" s="967"/>
      <c r="AA39" s="967"/>
      <c r="AB39" s="967"/>
      <c r="AC39" s="974">
        <f t="shared" si="0"/>
        <v>0</v>
      </c>
      <c r="AD39" s="973">
        <f t="shared" si="1"/>
        <v>0</v>
      </c>
    </row>
    <row r="40" spans="1:30" ht="12.75">
      <c r="A40" s="1016"/>
      <c r="B40" s="966"/>
      <c r="C40" s="972"/>
      <c r="D40" s="999"/>
      <c r="E40" s="974"/>
      <c r="F40" s="973"/>
      <c r="G40" s="974"/>
      <c r="H40" s="973"/>
      <c r="I40" s="967"/>
      <c r="J40" s="967"/>
      <c r="K40" s="967"/>
      <c r="L40" s="967"/>
      <c r="M40" s="967"/>
      <c r="N40" s="967"/>
      <c r="O40" s="967"/>
      <c r="P40" s="973"/>
      <c r="Q40" s="967"/>
      <c r="R40" s="967"/>
      <c r="S40" s="967"/>
      <c r="T40" s="967"/>
      <c r="U40" s="967"/>
      <c r="V40" s="967"/>
      <c r="W40" s="967"/>
      <c r="X40" s="967"/>
      <c r="Y40" s="967"/>
      <c r="Z40" s="967"/>
      <c r="AA40" s="967"/>
      <c r="AB40" s="967"/>
      <c r="AC40" s="974">
        <f t="shared" si="0"/>
        <v>0</v>
      </c>
      <c r="AD40" s="973">
        <f t="shared" si="1"/>
        <v>0</v>
      </c>
    </row>
    <row r="41" spans="1:30" ht="12.75">
      <c r="A41" s="1016"/>
      <c r="B41" s="966"/>
      <c r="C41" s="972"/>
      <c r="D41" s="999"/>
      <c r="E41" s="974"/>
      <c r="F41" s="973"/>
      <c r="G41" s="974"/>
      <c r="H41" s="973"/>
      <c r="I41" s="967"/>
      <c r="J41" s="967"/>
      <c r="K41" s="967"/>
      <c r="L41" s="967"/>
      <c r="M41" s="967"/>
      <c r="N41" s="967"/>
      <c r="O41" s="967"/>
      <c r="P41" s="973"/>
      <c r="Q41" s="967"/>
      <c r="R41" s="967"/>
      <c r="S41" s="967"/>
      <c r="T41" s="967"/>
      <c r="U41" s="967"/>
      <c r="V41" s="967"/>
      <c r="W41" s="967"/>
      <c r="X41" s="967"/>
      <c r="Y41" s="967"/>
      <c r="Z41" s="967"/>
      <c r="AA41" s="967"/>
      <c r="AB41" s="967"/>
      <c r="AC41" s="974">
        <f t="shared" si="0"/>
        <v>0</v>
      </c>
      <c r="AD41" s="973">
        <f t="shared" si="1"/>
        <v>0</v>
      </c>
    </row>
    <row r="42" spans="1:30" ht="12.75">
      <c r="A42" s="1017"/>
      <c r="B42" s="998"/>
      <c r="C42" s="977"/>
      <c r="D42" s="1004"/>
      <c r="E42" s="978"/>
      <c r="F42" s="979"/>
      <c r="G42" s="978"/>
      <c r="H42" s="979"/>
      <c r="I42" s="980"/>
      <c r="J42" s="980"/>
      <c r="K42" s="980"/>
      <c r="L42" s="980"/>
      <c r="M42" s="980"/>
      <c r="N42" s="980"/>
      <c r="O42" s="980"/>
      <c r="P42" s="979"/>
      <c r="Q42" s="980"/>
      <c r="R42" s="980"/>
      <c r="S42" s="980"/>
      <c r="T42" s="980"/>
      <c r="U42" s="980"/>
      <c r="V42" s="980"/>
      <c r="W42" s="980"/>
      <c r="X42" s="980"/>
      <c r="Y42" s="980"/>
      <c r="Z42" s="980"/>
      <c r="AA42" s="980"/>
      <c r="AB42" s="980"/>
      <c r="AC42" s="978">
        <f t="shared" si="0"/>
        <v>0</v>
      </c>
      <c r="AD42" s="979">
        <f t="shared" si="1"/>
        <v>0</v>
      </c>
    </row>
    <row r="43" spans="1:30" ht="12.75">
      <c r="A43" s="1013"/>
      <c r="B43" s="995" t="s">
        <v>496</v>
      </c>
      <c r="C43" s="808"/>
      <c r="D43" s="1005"/>
      <c r="E43" s="808"/>
      <c r="F43" s="996"/>
      <c r="G43" s="808"/>
      <c r="H43" s="996"/>
      <c r="I43" s="995"/>
      <c r="J43" s="995"/>
      <c r="K43" s="995"/>
      <c r="L43" s="995"/>
      <c r="M43" s="995"/>
      <c r="N43" s="995"/>
      <c r="O43" s="995"/>
      <c r="P43" s="996"/>
      <c r="Q43" s="995"/>
      <c r="R43" s="995"/>
      <c r="S43" s="995"/>
      <c r="T43" s="995"/>
      <c r="U43" s="995"/>
      <c r="V43" s="995"/>
      <c r="W43" s="995"/>
      <c r="X43" s="995"/>
      <c r="Y43" s="995"/>
      <c r="Z43" s="995"/>
      <c r="AA43" s="995"/>
      <c r="AB43" s="995"/>
      <c r="AC43" s="808">
        <f t="shared" si="0"/>
        <v>0</v>
      </c>
      <c r="AD43" s="996">
        <f t="shared" si="1"/>
        <v>0</v>
      </c>
    </row>
    <row r="44" spans="1:30" ht="12.75">
      <c r="A44" s="1018"/>
      <c r="B44" s="964"/>
      <c r="C44" s="969"/>
      <c r="D44" s="975"/>
      <c r="E44" s="969"/>
      <c r="F44" s="970"/>
      <c r="G44" s="969"/>
      <c r="H44" s="970"/>
      <c r="I44" s="965"/>
      <c r="J44" s="965"/>
      <c r="K44" s="965"/>
      <c r="L44" s="965"/>
      <c r="M44" s="965"/>
      <c r="N44" s="965"/>
      <c r="O44" s="965"/>
      <c r="P44" s="970"/>
      <c r="Q44" s="965"/>
      <c r="R44" s="965"/>
      <c r="S44" s="965"/>
      <c r="T44" s="965"/>
      <c r="U44" s="965"/>
      <c r="V44" s="965"/>
      <c r="W44" s="965"/>
      <c r="X44" s="965"/>
      <c r="Y44" s="965"/>
      <c r="Z44" s="965"/>
      <c r="AA44" s="965"/>
      <c r="AB44" s="965"/>
      <c r="AC44" s="997">
        <f t="shared" si="0"/>
        <v>0</v>
      </c>
      <c r="AD44" s="970">
        <f t="shared" si="1"/>
        <v>0</v>
      </c>
    </row>
    <row r="45" spans="1:30" ht="12.75">
      <c r="A45" s="1019"/>
      <c r="B45" s="966"/>
      <c r="C45" s="972"/>
      <c r="D45" s="976"/>
      <c r="E45" s="972"/>
      <c r="F45" s="973"/>
      <c r="G45" s="972"/>
      <c r="H45" s="973"/>
      <c r="I45" s="967"/>
      <c r="J45" s="967"/>
      <c r="K45" s="967"/>
      <c r="L45" s="967"/>
      <c r="M45" s="967"/>
      <c r="N45" s="967"/>
      <c r="O45" s="967"/>
      <c r="P45" s="973"/>
      <c r="Q45" s="967"/>
      <c r="R45" s="967"/>
      <c r="S45" s="967"/>
      <c r="T45" s="967"/>
      <c r="U45" s="967"/>
      <c r="V45" s="967"/>
      <c r="W45" s="967"/>
      <c r="X45" s="967"/>
      <c r="Y45" s="967"/>
      <c r="Z45" s="967"/>
      <c r="AA45" s="967"/>
      <c r="AB45" s="967"/>
      <c r="AC45" s="974">
        <f t="shared" si="0"/>
        <v>0</v>
      </c>
      <c r="AD45" s="973">
        <f t="shared" si="1"/>
        <v>0</v>
      </c>
    </row>
    <row r="46" spans="1:30" ht="12.75">
      <c r="A46" s="1019"/>
      <c r="B46" s="966"/>
      <c r="C46" s="972"/>
      <c r="D46" s="976"/>
      <c r="E46" s="972"/>
      <c r="F46" s="973"/>
      <c r="G46" s="972"/>
      <c r="H46" s="973"/>
      <c r="I46" s="967"/>
      <c r="J46" s="967"/>
      <c r="K46" s="967"/>
      <c r="L46" s="967"/>
      <c r="M46" s="967"/>
      <c r="N46" s="967"/>
      <c r="O46" s="967"/>
      <c r="P46" s="973"/>
      <c r="Q46" s="967"/>
      <c r="R46" s="967"/>
      <c r="S46" s="967"/>
      <c r="T46" s="967"/>
      <c r="U46" s="967"/>
      <c r="V46" s="967"/>
      <c r="W46" s="967"/>
      <c r="X46" s="967"/>
      <c r="Y46" s="967"/>
      <c r="Z46" s="967"/>
      <c r="AA46" s="967"/>
      <c r="AB46" s="967"/>
      <c r="AC46" s="974">
        <f t="shared" si="0"/>
        <v>0</v>
      </c>
      <c r="AD46" s="973">
        <f t="shared" si="1"/>
        <v>0</v>
      </c>
    </row>
    <row r="47" spans="1:30" ht="12.75">
      <c r="A47" s="1019"/>
      <c r="B47" s="966"/>
      <c r="C47" s="972"/>
      <c r="D47" s="976"/>
      <c r="E47" s="972"/>
      <c r="F47" s="973"/>
      <c r="G47" s="972"/>
      <c r="H47" s="973"/>
      <c r="I47" s="967"/>
      <c r="J47" s="967"/>
      <c r="K47" s="967"/>
      <c r="L47" s="967"/>
      <c r="M47" s="967"/>
      <c r="N47" s="967"/>
      <c r="O47" s="967"/>
      <c r="P47" s="973"/>
      <c r="Q47" s="967"/>
      <c r="R47" s="967"/>
      <c r="S47" s="967"/>
      <c r="T47" s="967"/>
      <c r="U47" s="967"/>
      <c r="V47" s="967"/>
      <c r="W47" s="967"/>
      <c r="X47" s="967"/>
      <c r="Y47" s="967"/>
      <c r="Z47" s="967"/>
      <c r="AA47" s="967"/>
      <c r="AB47" s="967"/>
      <c r="AC47" s="974">
        <f t="shared" si="0"/>
        <v>0</v>
      </c>
      <c r="AD47" s="973">
        <f t="shared" si="1"/>
        <v>0</v>
      </c>
    </row>
    <row r="48" spans="1:30" ht="12.75">
      <c r="A48" s="1019"/>
      <c r="B48" s="966"/>
      <c r="C48" s="972"/>
      <c r="D48" s="976"/>
      <c r="E48" s="972"/>
      <c r="F48" s="973"/>
      <c r="G48" s="972"/>
      <c r="H48" s="973"/>
      <c r="I48" s="967"/>
      <c r="J48" s="967"/>
      <c r="K48" s="967"/>
      <c r="L48" s="967"/>
      <c r="M48" s="967"/>
      <c r="N48" s="967"/>
      <c r="O48" s="967"/>
      <c r="P48" s="973"/>
      <c r="Q48" s="967"/>
      <c r="R48" s="967"/>
      <c r="S48" s="967"/>
      <c r="T48" s="967"/>
      <c r="U48" s="967"/>
      <c r="V48" s="967"/>
      <c r="W48" s="967"/>
      <c r="X48" s="967"/>
      <c r="Y48" s="967"/>
      <c r="Z48" s="967"/>
      <c r="AA48" s="967"/>
      <c r="AB48" s="967"/>
      <c r="AC48" s="974">
        <f t="shared" si="0"/>
        <v>0</v>
      </c>
      <c r="AD48" s="973">
        <f t="shared" si="1"/>
        <v>0</v>
      </c>
    </row>
    <row r="49" spans="1:30" ht="12.75">
      <c r="A49" s="1016"/>
      <c r="B49" s="966"/>
      <c r="C49" s="972"/>
      <c r="D49" s="999"/>
      <c r="E49" s="974"/>
      <c r="F49" s="973"/>
      <c r="G49" s="974"/>
      <c r="H49" s="973"/>
      <c r="I49" s="967"/>
      <c r="J49" s="967"/>
      <c r="K49" s="967"/>
      <c r="L49" s="967"/>
      <c r="M49" s="967"/>
      <c r="N49" s="967"/>
      <c r="O49" s="967"/>
      <c r="P49" s="973"/>
      <c r="Q49" s="967"/>
      <c r="R49" s="967"/>
      <c r="S49" s="967"/>
      <c r="T49" s="967"/>
      <c r="U49" s="967"/>
      <c r="V49" s="967"/>
      <c r="W49" s="967"/>
      <c r="X49" s="967"/>
      <c r="Y49" s="967"/>
      <c r="Z49" s="967"/>
      <c r="AA49" s="967"/>
      <c r="AB49" s="967"/>
      <c r="AC49" s="974">
        <f t="shared" si="0"/>
        <v>0</v>
      </c>
      <c r="AD49" s="973">
        <f t="shared" si="1"/>
        <v>0</v>
      </c>
    </row>
    <row r="50" spans="1:30" ht="12.75">
      <c r="A50" s="1016"/>
      <c r="B50" s="966"/>
      <c r="C50" s="972"/>
      <c r="D50" s="999"/>
      <c r="E50" s="974"/>
      <c r="F50" s="973"/>
      <c r="G50" s="974"/>
      <c r="H50" s="973"/>
      <c r="I50" s="967"/>
      <c r="J50" s="967"/>
      <c r="K50" s="967"/>
      <c r="L50" s="967"/>
      <c r="M50" s="967"/>
      <c r="N50" s="967"/>
      <c r="O50" s="967"/>
      <c r="P50" s="973"/>
      <c r="Q50" s="967"/>
      <c r="R50" s="967"/>
      <c r="S50" s="967"/>
      <c r="T50" s="967"/>
      <c r="U50" s="967"/>
      <c r="V50" s="967"/>
      <c r="W50" s="967"/>
      <c r="X50" s="967"/>
      <c r="Y50" s="967"/>
      <c r="Z50" s="967"/>
      <c r="AA50" s="967"/>
      <c r="AB50" s="967"/>
      <c r="AC50" s="974">
        <f t="shared" si="0"/>
        <v>0</v>
      </c>
      <c r="AD50" s="973">
        <f t="shared" si="1"/>
        <v>0</v>
      </c>
    </row>
    <row r="51" spans="1:30" ht="12.75">
      <c r="A51" s="1016"/>
      <c r="B51" s="966"/>
      <c r="C51" s="972"/>
      <c r="D51" s="999"/>
      <c r="E51" s="974"/>
      <c r="F51" s="973"/>
      <c r="G51" s="974"/>
      <c r="H51" s="973"/>
      <c r="I51" s="967"/>
      <c r="J51" s="967"/>
      <c r="K51" s="967"/>
      <c r="L51" s="967"/>
      <c r="M51" s="967"/>
      <c r="N51" s="967"/>
      <c r="O51" s="967"/>
      <c r="P51" s="973"/>
      <c r="Q51" s="967"/>
      <c r="R51" s="967"/>
      <c r="S51" s="967"/>
      <c r="T51" s="967"/>
      <c r="U51" s="967"/>
      <c r="V51" s="967"/>
      <c r="W51" s="967"/>
      <c r="X51" s="967"/>
      <c r="Y51" s="967"/>
      <c r="Z51" s="967"/>
      <c r="AA51" s="967"/>
      <c r="AB51" s="967"/>
      <c r="AC51" s="974">
        <f t="shared" si="0"/>
        <v>0</v>
      </c>
      <c r="AD51" s="973">
        <f t="shared" si="1"/>
        <v>0</v>
      </c>
    </row>
    <row r="52" spans="1:30" ht="12.75">
      <c r="A52" s="1016"/>
      <c r="B52" s="966"/>
      <c r="C52" s="972"/>
      <c r="D52" s="999"/>
      <c r="E52" s="974"/>
      <c r="F52" s="973"/>
      <c r="G52" s="974"/>
      <c r="H52" s="973"/>
      <c r="I52" s="967"/>
      <c r="J52" s="967"/>
      <c r="K52" s="967"/>
      <c r="L52" s="967"/>
      <c r="M52" s="967"/>
      <c r="N52" s="967"/>
      <c r="O52" s="967"/>
      <c r="P52" s="973"/>
      <c r="Q52" s="967"/>
      <c r="R52" s="967"/>
      <c r="S52" s="967"/>
      <c r="T52" s="967"/>
      <c r="U52" s="967"/>
      <c r="V52" s="967"/>
      <c r="W52" s="967"/>
      <c r="X52" s="967"/>
      <c r="Y52" s="967"/>
      <c r="Z52" s="967"/>
      <c r="AA52" s="967"/>
      <c r="AB52" s="967"/>
      <c r="AC52" s="974">
        <f t="shared" si="0"/>
        <v>0</v>
      </c>
      <c r="AD52" s="973">
        <f t="shared" si="1"/>
        <v>0</v>
      </c>
    </row>
    <row r="53" spans="1:30" ht="12.75">
      <c r="A53" s="1020"/>
      <c r="B53" s="998"/>
      <c r="C53" s="977"/>
      <c r="D53" s="979"/>
      <c r="E53" s="978"/>
      <c r="F53" s="979"/>
      <c r="G53" s="978"/>
      <c r="H53" s="979"/>
      <c r="I53" s="980"/>
      <c r="J53" s="980"/>
      <c r="K53" s="980"/>
      <c r="L53" s="980"/>
      <c r="M53" s="980"/>
      <c r="N53" s="980"/>
      <c r="O53" s="980"/>
      <c r="P53" s="980"/>
      <c r="Q53" s="980"/>
      <c r="R53" s="980"/>
      <c r="S53" s="980"/>
      <c r="T53" s="980"/>
      <c r="U53" s="980"/>
      <c r="V53" s="980"/>
      <c r="W53" s="980"/>
      <c r="X53" s="980"/>
      <c r="Y53" s="980"/>
      <c r="Z53" s="980"/>
      <c r="AA53" s="980"/>
      <c r="AB53" s="980"/>
      <c r="AC53" s="978">
        <f t="shared" si="0"/>
        <v>0</v>
      </c>
      <c r="AD53" s="979">
        <f t="shared" si="1"/>
        <v>0</v>
      </c>
    </row>
    <row r="54" spans="1:30" ht="12.75">
      <c r="A54" s="1481" t="s">
        <v>494</v>
      </c>
      <c r="B54" s="1482"/>
      <c r="C54" s="1483"/>
      <c r="D54" s="1483"/>
      <c r="E54" s="807"/>
      <c r="F54" s="810"/>
      <c r="G54" s="524"/>
      <c r="H54" s="809"/>
      <c r="I54" s="525"/>
      <c r="J54" s="525"/>
      <c r="K54" s="525"/>
      <c r="L54" s="525"/>
      <c r="M54" s="525"/>
      <c r="N54" s="525"/>
      <c r="O54" s="525"/>
      <c r="P54" s="523"/>
      <c r="Q54" s="525"/>
      <c r="R54" s="52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4">
        <f t="shared" si="0"/>
        <v>0</v>
      </c>
      <c r="AD54" s="523">
        <f t="shared" si="1"/>
        <v>0</v>
      </c>
    </row>
    <row r="55" spans="1:30" ht="12.75">
      <c r="A55" s="1008"/>
      <c r="B55" s="527" t="s">
        <v>494</v>
      </c>
      <c r="C55" s="527"/>
      <c r="D55" s="527"/>
      <c r="E55" s="526"/>
      <c r="F55" s="528"/>
      <c r="G55" s="526"/>
      <c r="H55" s="528"/>
      <c r="I55" s="527"/>
      <c r="J55" s="527"/>
      <c r="K55" s="527"/>
      <c r="L55" s="527"/>
      <c r="M55" s="527"/>
      <c r="N55" s="527"/>
      <c r="O55" s="527"/>
      <c r="P55" s="528"/>
      <c r="Q55" s="527"/>
      <c r="R55" s="527"/>
      <c r="S55" s="527"/>
      <c r="T55" s="527"/>
      <c r="U55" s="527"/>
      <c r="V55" s="527"/>
      <c r="W55" s="527"/>
      <c r="X55" s="527"/>
      <c r="Y55" s="527"/>
      <c r="Z55" s="527"/>
      <c r="AA55" s="527"/>
      <c r="AB55" s="527"/>
      <c r="AC55" s="526">
        <f t="shared" si="0"/>
        <v>0</v>
      </c>
      <c r="AD55" s="528">
        <f t="shared" si="1"/>
        <v>0</v>
      </c>
    </row>
    <row r="56" spans="1:30" ht="12.75">
      <c r="A56" s="1018"/>
      <c r="B56" s="964"/>
      <c r="C56" s="969"/>
      <c r="D56" s="975"/>
      <c r="E56" s="969"/>
      <c r="F56" s="970"/>
      <c r="G56" s="969"/>
      <c r="H56" s="970"/>
      <c r="I56" s="965"/>
      <c r="J56" s="965"/>
      <c r="K56" s="965"/>
      <c r="L56" s="965"/>
      <c r="M56" s="965"/>
      <c r="N56" s="965"/>
      <c r="O56" s="965"/>
      <c r="P56" s="970"/>
      <c r="Q56" s="965"/>
      <c r="R56" s="965"/>
      <c r="S56" s="965"/>
      <c r="T56" s="965"/>
      <c r="U56" s="965"/>
      <c r="V56" s="965"/>
      <c r="W56" s="965"/>
      <c r="X56" s="965"/>
      <c r="Y56" s="965"/>
      <c r="Z56" s="965"/>
      <c r="AA56" s="965"/>
      <c r="AB56" s="965"/>
      <c r="AC56" s="997">
        <f t="shared" si="0"/>
        <v>0</v>
      </c>
      <c r="AD56" s="970">
        <f t="shared" si="1"/>
        <v>0</v>
      </c>
    </row>
    <row r="57" spans="1:30" ht="12.75">
      <c r="A57" s="1019"/>
      <c r="B57" s="966"/>
      <c r="C57" s="972"/>
      <c r="D57" s="976"/>
      <c r="E57" s="972"/>
      <c r="F57" s="973"/>
      <c r="G57" s="972"/>
      <c r="H57" s="973"/>
      <c r="I57" s="967"/>
      <c r="J57" s="967"/>
      <c r="K57" s="967"/>
      <c r="L57" s="967"/>
      <c r="M57" s="967"/>
      <c r="N57" s="967"/>
      <c r="O57" s="967"/>
      <c r="P57" s="973"/>
      <c r="Q57" s="967"/>
      <c r="R57" s="967"/>
      <c r="S57" s="967"/>
      <c r="T57" s="967"/>
      <c r="U57" s="967"/>
      <c r="V57" s="967"/>
      <c r="W57" s="967"/>
      <c r="X57" s="967"/>
      <c r="Y57" s="967"/>
      <c r="Z57" s="967"/>
      <c r="AA57" s="967"/>
      <c r="AB57" s="967"/>
      <c r="AC57" s="974">
        <f t="shared" si="0"/>
        <v>0</v>
      </c>
      <c r="AD57" s="973">
        <f t="shared" si="1"/>
        <v>0</v>
      </c>
    </row>
    <row r="58" spans="1:30" ht="12.75">
      <c r="A58" s="1019"/>
      <c r="B58" s="966"/>
      <c r="C58" s="972"/>
      <c r="D58" s="976"/>
      <c r="E58" s="972"/>
      <c r="F58" s="973"/>
      <c r="G58" s="972"/>
      <c r="H58" s="973"/>
      <c r="I58" s="967"/>
      <c r="J58" s="967"/>
      <c r="K58" s="967"/>
      <c r="L58" s="967"/>
      <c r="M58" s="967"/>
      <c r="N58" s="967"/>
      <c r="O58" s="967"/>
      <c r="P58" s="973"/>
      <c r="Q58" s="967"/>
      <c r="R58" s="967"/>
      <c r="S58" s="967"/>
      <c r="T58" s="967"/>
      <c r="U58" s="967"/>
      <c r="V58" s="967"/>
      <c r="W58" s="967"/>
      <c r="X58" s="967"/>
      <c r="Y58" s="967"/>
      <c r="Z58" s="967"/>
      <c r="AA58" s="967"/>
      <c r="AB58" s="967"/>
      <c r="AC58" s="974">
        <f t="shared" si="0"/>
        <v>0</v>
      </c>
      <c r="AD58" s="973">
        <f t="shared" si="1"/>
        <v>0</v>
      </c>
    </row>
    <row r="59" spans="1:30" ht="12.75">
      <c r="A59" s="1019"/>
      <c r="B59" s="966"/>
      <c r="C59" s="972"/>
      <c r="D59" s="976"/>
      <c r="E59" s="972"/>
      <c r="F59" s="973"/>
      <c r="G59" s="972"/>
      <c r="H59" s="973"/>
      <c r="I59" s="967"/>
      <c r="J59" s="967"/>
      <c r="K59" s="967"/>
      <c r="L59" s="967"/>
      <c r="M59" s="967"/>
      <c r="N59" s="967"/>
      <c r="O59" s="967"/>
      <c r="P59" s="973"/>
      <c r="Q59" s="967"/>
      <c r="R59" s="967"/>
      <c r="S59" s="967"/>
      <c r="T59" s="967"/>
      <c r="U59" s="967"/>
      <c r="V59" s="967"/>
      <c r="W59" s="967"/>
      <c r="X59" s="967"/>
      <c r="Y59" s="967"/>
      <c r="Z59" s="967"/>
      <c r="AA59" s="967"/>
      <c r="AB59" s="967"/>
      <c r="AC59" s="974">
        <f t="shared" si="0"/>
        <v>0</v>
      </c>
      <c r="AD59" s="973">
        <f t="shared" si="1"/>
        <v>0</v>
      </c>
    </row>
    <row r="60" spans="1:30" ht="12.75">
      <c r="A60" s="1019"/>
      <c r="B60" s="966"/>
      <c r="C60" s="972"/>
      <c r="D60" s="976"/>
      <c r="E60" s="972"/>
      <c r="F60" s="973"/>
      <c r="G60" s="972"/>
      <c r="H60" s="973"/>
      <c r="I60" s="967"/>
      <c r="J60" s="967"/>
      <c r="K60" s="967"/>
      <c r="L60" s="967"/>
      <c r="M60" s="967"/>
      <c r="N60" s="967"/>
      <c r="O60" s="967"/>
      <c r="P60" s="973"/>
      <c r="Q60" s="967"/>
      <c r="R60" s="967"/>
      <c r="S60" s="967"/>
      <c r="T60" s="967"/>
      <c r="U60" s="967"/>
      <c r="V60" s="967"/>
      <c r="W60" s="967"/>
      <c r="X60" s="967"/>
      <c r="Y60" s="967"/>
      <c r="Z60" s="967"/>
      <c r="AA60" s="967"/>
      <c r="AB60" s="967"/>
      <c r="AC60" s="974">
        <f t="shared" si="0"/>
        <v>0</v>
      </c>
      <c r="AD60" s="973">
        <f t="shared" si="1"/>
        <v>0</v>
      </c>
    </row>
    <row r="61" spans="1:30" ht="12.75">
      <c r="A61" s="1019"/>
      <c r="B61" s="966"/>
      <c r="C61" s="972"/>
      <c r="D61" s="976"/>
      <c r="E61" s="972"/>
      <c r="F61" s="973"/>
      <c r="G61" s="972"/>
      <c r="H61" s="999"/>
      <c r="I61" s="967"/>
      <c r="J61" s="967"/>
      <c r="K61" s="967"/>
      <c r="L61" s="967"/>
      <c r="M61" s="967"/>
      <c r="N61" s="967"/>
      <c r="O61" s="967"/>
      <c r="P61" s="973"/>
      <c r="Q61" s="967"/>
      <c r="R61" s="967"/>
      <c r="S61" s="967"/>
      <c r="T61" s="967"/>
      <c r="U61" s="967"/>
      <c r="V61" s="967"/>
      <c r="W61" s="967"/>
      <c r="X61" s="967"/>
      <c r="Y61" s="967"/>
      <c r="Z61" s="967"/>
      <c r="AA61" s="967"/>
      <c r="AB61" s="967"/>
      <c r="AC61" s="974">
        <f t="shared" si="0"/>
        <v>0</v>
      </c>
      <c r="AD61" s="973">
        <f t="shared" si="1"/>
        <v>0</v>
      </c>
    </row>
    <row r="62" spans="1:30" ht="12.75">
      <c r="A62" s="1016"/>
      <c r="B62" s="966"/>
      <c r="C62" s="972"/>
      <c r="D62" s="999"/>
      <c r="E62" s="974"/>
      <c r="F62" s="973"/>
      <c r="G62" s="974"/>
      <c r="H62" s="973"/>
      <c r="I62" s="967"/>
      <c r="J62" s="967"/>
      <c r="K62" s="967"/>
      <c r="L62" s="967"/>
      <c r="M62" s="967"/>
      <c r="N62" s="967"/>
      <c r="O62" s="967"/>
      <c r="P62" s="973"/>
      <c r="Q62" s="967"/>
      <c r="R62" s="967"/>
      <c r="S62" s="967"/>
      <c r="T62" s="967"/>
      <c r="U62" s="967"/>
      <c r="V62" s="967"/>
      <c r="W62" s="967"/>
      <c r="X62" s="967"/>
      <c r="Y62" s="967"/>
      <c r="Z62" s="967"/>
      <c r="AA62" s="967"/>
      <c r="AB62" s="967"/>
      <c r="AC62" s="974">
        <f t="shared" si="0"/>
        <v>0</v>
      </c>
      <c r="AD62" s="973">
        <f t="shared" si="1"/>
        <v>0</v>
      </c>
    </row>
    <row r="63" spans="1:30" ht="12.75">
      <c r="A63" s="1016"/>
      <c r="B63" s="966"/>
      <c r="C63" s="972"/>
      <c r="D63" s="999"/>
      <c r="E63" s="974"/>
      <c r="F63" s="973"/>
      <c r="G63" s="974"/>
      <c r="H63" s="973"/>
      <c r="I63" s="967"/>
      <c r="J63" s="967"/>
      <c r="K63" s="967"/>
      <c r="L63" s="967"/>
      <c r="M63" s="967"/>
      <c r="N63" s="967"/>
      <c r="O63" s="967"/>
      <c r="P63" s="973"/>
      <c r="Q63" s="967"/>
      <c r="R63" s="967"/>
      <c r="S63" s="967"/>
      <c r="T63" s="967"/>
      <c r="U63" s="967"/>
      <c r="V63" s="967"/>
      <c r="W63" s="967"/>
      <c r="X63" s="967"/>
      <c r="Y63" s="967"/>
      <c r="Z63" s="967"/>
      <c r="AA63" s="967"/>
      <c r="AB63" s="967"/>
      <c r="AC63" s="974">
        <f t="shared" si="0"/>
        <v>0</v>
      </c>
      <c r="AD63" s="973">
        <f t="shared" si="1"/>
        <v>0</v>
      </c>
    </row>
    <row r="64" spans="1:30" ht="12.75">
      <c r="A64" s="1016"/>
      <c r="B64" s="966"/>
      <c r="C64" s="972"/>
      <c r="D64" s="999"/>
      <c r="E64" s="974"/>
      <c r="F64" s="973"/>
      <c r="G64" s="974"/>
      <c r="H64" s="973"/>
      <c r="I64" s="967"/>
      <c r="J64" s="967"/>
      <c r="K64" s="967"/>
      <c r="L64" s="967"/>
      <c r="M64" s="967"/>
      <c r="N64" s="967"/>
      <c r="O64" s="967"/>
      <c r="P64" s="973"/>
      <c r="Q64" s="967"/>
      <c r="R64" s="967"/>
      <c r="S64" s="967"/>
      <c r="T64" s="967"/>
      <c r="U64" s="967"/>
      <c r="V64" s="967"/>
      <c r="W64" s="967"/>
      <c r="X64" s="967"/>
      <c r="Y64" s="967"/>
      <c r="Z64" s="967"/>
      <c r="AA64" s="967"/>
      <c r="AB64" s="967"/>
      <c r="AC64" s="974">
        <f t="shared" si="0"/>
        <v>0</v>
      </c>
      <c r="AD64" s="973">
        <f t="shared" si="1"/>
        <v>0</v>
      </c>
    </row>
    <row r="65" spans="1:30" ht="12.75">
      <c r="A65" s="1017"/>
      <c r="B65" s="998"/>
      <c r="C65" s="977"/>
      <c r="D65" s="1004"/>
      <c r="E65" s="978"/>
      <c r="F65" s="979"/>
      <c r="G65" s="978"/>
      <c r="H65" s="979"/>
      <c r="I65" s="980"/>
      <c r="J65" s="980"/>
      <c r="K65" s="980"/>
      <c r="L65" s="980"/>
      <c r="M65" s="980"/>
      <c r="N65" s="980"/>
      <c r="O65" s="980"/>
      <c r="P65" s="979"/>
      <c r="Q65" s="980"/>
      <c r="R65" s="980"/>
      <c r="S65" s="980"/>
      <c r="T65" s="980"/>
      <c r="U65" s="980"/>
      <c r="V65" s="980"/>
      <c r="W65" s="980"/>
      <c r="X65" s="980"/>
      <c r="Y65" s="980"/>
      <c r="Z65" s="980"/>
      <c r="AA65" s="980"/>
      <c r="AB65" s="980"/>
      <c r="AC65" s="978">
        <f t="shared" si="0"/>
        <v>0</v>
      </c>
      <c r="AD65" s="979">
        <f t="shared" si="1"/>
        <v>0</v>
      </c>
    </row>
    <row r="66" spans="1:30" ht="12.75">
      <c r="A66" s="1008"/>
      <c r="B66" s="527" t="s">
        <v>495</v>
      </c>
      <c r="C66" s="526"/>
      <c r="D66" s="528"/>
      <c r="E66" s="526"/>
      <c r="F66" s="528"/>
      <c r="G66" s="526"/>
      <c r="H66" s="528"/>
      <c r="I66" s="527"/>
      <c r="J66" s="527"/>
      <c r="K66" s="527"/>
      <c r="L66" s="527"/>
      <c r="M66" s="527"/>
      <c r="N66" s="527"/>
      <c r="O66" s="527"/>
      <c r="P66" s="528"/>
      <c r="Q66" s="527"/>
      <c r="R66" s="527"/>
      <c r="S66" s="527"/>
      <c r="T66" s="527"/>
      <c r="U66" s="527"/>
      <c r="V66" s="527"/>
      <c r="W66" s="527"/>
      <c r="X66" s="527"/>
      <c r="Y66" s="527"/>
      <c r="Z66" s="527"/>
      <c r="AA66" s="527"/>
      <c r="AB66" s="527"/>
      <c r="AC66" s="526">
        <f t="shared" si="0"/>
        <v>0</v>
      </c>
      <c r="AD66" s="528">
        <f t="shared" si="1"/>
        <v>0</v>
      </c>
    </row>
    <row r="67" spans="1:30" ht="12.75">
      <c r="A67" s="1018"/>
      <c r="B67" s="964"/>
      <c r="C67" s="969"/>
      <c r="D67" s="975"/>
      <c r="E67" s="969"/>
      <c r="F67" s="1003"/>
      <c r="G67" s="969"/>
      <c r="H67" s="1003"/>
      <c r="I67" s="965"/>
      <c r="J67" s="965"/>
      <c r="K67" s="965"/>
      <c r="L67" s="965"/>
      <c r="M67" s="965"/>
      <c r="N67" s="965"/>
      <c r="O67" s="965"/>
      <c r="P67" s="970"/>
      <c r="Q67" s="965"/>
      <c r="R67" s="997"/>
      <c r="S67" s="965"/>
      <c r="T67" s="965"/>
      <c r="U67" s="965"/>
      <c r="V67" s="965"/>
      <c r="W67" s="965"/>
      <c r="X67" s="965"/>
      <c r="Y67" s="965"/>
      <c r="Z67" s="965"/>
      <c r="AA67" s="965"/>
      <c r="AB67" s="965"/>
      <c r="AC67" s="997">
        <f t="shared" si="0"/>
        <v>0</v>
      </c>
      <c r="AD67" s="970">
        <f t="shared" si="1"/>
        <v>0</v>
      </c>
    </row>
    <row r="68" spans="1:30" ht="12.75">
      <c r="A68" s="1019"/>
      <c r="B68" s="966"/>
      <c r="C68" s="972"/>
      <c r="D68" s="976"/>
      <c r="E68" s="972"/>
      <c r="F68" s="999"/>
      <c r="G68" s="972"/>
      <c r="H68" s="999"/>
      <c r="I68" s="967"/>
      <c r="J68" s="967"/>
      <c r="K68" s="967"/>
      <c r="L68" s="967"/>
      <c r="M68" s="967"/>
      <c r="N68" s="967"/>
      <c r="O68" s="967"/>
      <c r="P68" s="973"/>
      <c r="Q68" s="967"/>
      <c r="R68" s="974"/>
      <c r="S68" s="967"/>
      <c r="T68" s="967"/>
      <c r="U68" s="967"/>
      <c r="V68" s="967"/>
      <c r="W68" s="967"/>
      <c r="X68" s="967"/>
      <c r="Y68" s="967"/>
      <c r="Z68" s="967"/>
      <c r="AA68" s="967"/>
      <c r="AB68" s="967"/>
      <c r="AC68" s="974">
        <f aca="true" t="shared" si="2" ref="AC68:AC87">E68+G68+I68+K68+M68+O68+Q68+S68+U68+W68+Y68+AA68</f>
        <v>0</v>
      </c>
      <c r="AD68" s="973">
        <f aca="true" t="shared" si="3" ref="AD68:AD87">F68+H68+J68+L68+N68+P68+R68+T68+V68+X68+Z68+AB68</f>
        <v>0</v>
      </c>
    </row>
    <row r="69" spans="1:30" ht="12.75">
      <c r="A69" s="1019"/>
      <c r="B69" s="966"/>
      <c r="C69" s="972"/>
      <c r="D69" s="976"/>
      <c r="E69" s="972"/>
      <c r="F69" s="999"/>
      <c r="G69" s="972"/>
      <c r="H69" s="999"/>
      <c r="I69" s="967"/>
      <c r="J69" s="967"/>
      <c r="K69" s="967"/>
      <c r="L69" s="967"/>
      <c r="M69" s="967"/>
      <c r="N69" s="967"/>
      <c r="O69" s="967"/>
      <c r="P69" s="973"/>
      <c r="Q69" s="967"/>
      <c r="R69" s="974"/>
      <c r="S69" s="967"/>
      <c r="T69" s="967"/>
      <c r="U69" s="967"/>
      <c r="V69" s="967"/>
      <c r="W69" s="967"/>
      <c r="X69" s="967"/>
      <c r="Y69" s="967"/>
      <c r="Z69" s="967"/>
      <c r="AA69" s="967"/>
      <c r="AB69" s="967"/>
      <c r="AC69" s="974">
        <f t="shared" si="2"/>
        <v>0</v>
      </c>
      <c r="AD69" s="973">
        <f t="shared" si="3"/>
        <v>0</v>
      </c>
    </row>
    <row r="70" spans="1:30" ht="12.75">
      <c r="A70" s="1019"/>
      <c r="B70" s="966"/>
      <c r="C70" s="972"/>
      <c r="D70" s="976"/>
      <c r="E70" s="972"/>
      <c r="F70" s="999"/>
      <c r="G70" s="972"/>
      <c r="H70" s="999"/>
      <c r="I70" s="967"/>
      <c r="J70" s="967"/>
      <c r="K70" s="967"/>
      <c r="L70" s="967"/>
      <c r="M70" s="967"/>
      <c r="N70" s="967"/>
      <c r="O70" s="967"/>
      <c r="P70" s="973"/>
      <c r="Q70" s="967"/>
      <c r="R70" s="974"/>
      <c r="S70" s="967"/>
      <c r="T70" s="967"/>
      <c r="U70" s="967"/>
      <c r="V70" s="967"/>
      <c r="W70" s="967"/>
      <c r="X70" s="967"/>
      <c r="Y70" s="967"/>
      <c r="Z70" s="967"/>
      <c r="AA70" s="967"/>
      <c r="AB70" s="967"/>
      <c r="AC70" s="974">
        <f t="shared" si="2"/>
        <v>0</v>
      </c>
      <c r="AD70" s="973">
        <f t="shared" si="3"/>
        <v>0</v>
      </c>
    </row>
    <row r="71" spans="1:30" ht="12.75">
      <c r="A71" s="1019"/>
      <c r="B71" s="966"/>
      <c r="C71" s="972"/>
      <c r="D71" s="976"/>
      <c r="E71" s="972"/>
      <c r="F71" s="999"/>
      <c r="G71" s="972"/>
      <c r="H71" s="999"/>
      <c r="I71" s="967"/>
      <c r="J71" s="967"/>
      <c r="K71" s="967"/>
      <c r="L71" s="967"/>
      <c r="M71" s="967"/>
      <c r="N71" s="967"/>
      <c r="O71" s="967"/>
      <c r="P71" s="973"/>
      <c r="Q71" s="967"/>
      <c r="R71" s="974"/>
      <c r="S71" s="967"/>
      <c r="T71" s="967"/>
      <c r="U71" s="967"/>
      <c r="V71" s="967"/>
      <c r="W71" s="967"/>
      <c r="X71" s="967"/>
      <c r="Y71" s="967"/>
      <c r="Z71" s="967"/>
      <c r="AA71" s="967"/>
      <c r="AB71" s="967"/>
      <c r="AC71" s="974">
        <f t="shared" si="2"/>
        <v>0</v>
      </c>
      <c r="AD71" s="973">
        <f t="shared" si="3"/>
        <v>0</v>
      </c>
    </row>
    <row r="72" spans="1:30" ht="12.75">
      <c r="A72" s="1019"/>
      <c r="B72" s="966"/>
      <c r="C72" s="972"/>
      <c r="D72" s="976"/>
      <c r="E72" s="972"/>
      <c r="F72" s="999"/>
      <c r="G72" s="972"/>
      <c r="H72" s="999"/>
      <c r="I72" s="967"/>
      <c r="J72" s="967"/>
      <c r="K72" s="967"/>
      <c r="L72" s="967"/>
      <c r="M72" s="967"/>
      <c r="N72" s="967"/>
      <c r="O72" s="967"/>
      <c r="P72" s="973"/>
      <c r="Q72" s="967"/>
      <c r="R72" s="974"/>
      <c r="S72" s="967"/>
      <c r="T72" s="967"/>
      <c r="U72" s="967"/>
      <c r="V72" s="967"/>
      <c r="W72" s="967"/>
      <c r="X72" s="967"/>
      <c r="Y72" s="967"/>
      <c r="Z72" s="967"/>
      <c r="AA72" s="967"/>
      <c r="AB72" s="967"/>
      <c r="AC72" s="974">
        <f t="shared" si="2"/>
        <v>0</v>
      </c>
      <c r="AD72" s="973">
        <f t="shared" si="3"/>
        <v>0</v>
      </c>
    </row>
    <row r="73" spans="1:30" ht="12.75">
      <c r="A73" s="1016"/>
      <c r="B73" s="966"/>
      <c r="C73" s="972"/>
      <c r="D73" s="999"/>
      <c r="E73" s="974"/>
      <c r="F73" s="999"/>
      <c r="G73" s="974"/>
      <c r="H73" s="999"/>
      <c r="I73" s="967"/>
      <c r="J73" s="967"/>
      <c r="K73" s="967"/>
      <c r="L73" s="967"/>
      <c r="M73" s="967"/>
      <c r="N73" s="967"/>
      <c r="O73" s="967"/>
      <c r="P73" s="973"/>
      <c r="Q73" s="967"/>
      <c r="R73" s="974"/>
      <c r="S73" s="967"/>
      <c r="T73" s="967"/>
      <c r="U73" s="967"/>
      <c r="V73" s="967"/>
      <c r="W73" s="967"/>
      <c r="X73" s="967"/>
      <c r="Y73" s="967"/>
      <c r="Z73" s="967"/>
      <c r="AA73" s="967"/>
      <c r="AB73" s="967"/>
      <c r="AC73" s="974">
        <f t="shared" si="2"/>
        <v>0</v>
      </c>
      <c r="AD73" s="973">
        <f t="shared" si="3"/>
        <v>0</v>
      </c>
    </row>
    <row r="74" spans="1:30" ht="12.75">
      <c r="A74" s="1016"/>
      <c r="B74" s="966"/>
      <c r="C74" s="972"/>
      <c r="D74" s="999"/>
      <c r="E74" s="974"/>
      <c r="F74" s="999"/>
      <c r="G74" s="974"/>
      <c r="H74" s="999"/>
      <c r="I74" s="967"/>
      <c r="J74" s="967"/>
      <c r="K74" s="967"/>
      <c r="L74" s="967"/>
      <c r="M74" s="967"/>
      <c r="N74" s="967"/>
      <c r="O74" s="967"/>
      <c r="P74" s="973"/>
      <c r="Q74" s="967"/>
      <c r="R74" s="974"/>
      <c r="S74" s="967"/>
      <c r="T74" s="967"/>
      <c r="U74" s="967"/>
      <c r="V74" s="967"/>
      <c r="W74" s="967"/>
      <c r="X74" s="967"/>
      <c r="Y74" s="967"/>
      <c r="Z74" s="967"/>
      <c r="AA74" s="967"/>
      <c r="AB74" s="967"/>
      <c r="AC74" s="974">
        <f t="shared" si="2"/>
        <v>0</v>
      </c>
      <c r="AD74" s="973">
        <f t="shared" si="3"/>
        <v>0</v>
      </c>
    </row>
    <row r="75" spans="1:30" ht="12.75">
      <c r="A75" s="1016"/>
      <c r="B75" s="966"/>
      <c r="C75" s="972"/>
      <c r="D75" s="999"/>
      <c r="E75" s="974"/>
      <c r="F75" s="999"/>
      <c r="G75" s="974"/>
      <c r="H75" s="999"/>
      <c r="I75" s="967"/>
      <c r="J75" s="967"/>
      <c r="K75" s="967"/>
      <c r="L75" s="967"/>
      <c r="M75" s="967"/>
      <c r="N75" s="967"/>
      <c r="O75" s="967"/>
      <c r="P75" s="973"/>
      <c r="Q75" s="967"/>
      <c r="R75" s="974"/>
      <c r="S75" s="967"/>
      <c r="T75" s="967"/>
      <c r="U75" s="967"/>
      <c r="V75" s="967"/>
      <c r="W75" s="967"/>
      <c r="X75" s="967"/>
      <c r="Y75" s="967"/>
      <c r="Z75" s="967"/>
      <c r="AA75" s="967"/>
      <c r="AB75" s="967"/>
      <c r="AC75" s="974">
        <f t="shared" si="2"/>
        <v>0</v>
      </c>
      <c r="AD75" s="973">
        <f t="shared" si="3"/>
        <v>0</v>
      </c>
    </row>
    <row r="76" spans="1:30" ht="12.75">
      <c r="A76" s="1017"/>
      <c r="B76" s="998"/>
      <c r="C76" s="977"/>
      <c r="D76" s="1004"/>
      <c r="E76" s="978"/>
      <c r="F76" s="1004"/>
      <c r="G76" s="978"/>
      <c r="H76" s="1004"/>
      <c r="I76" s="980"/>
      <c r="J76" s="980"/>
      <c r="K76" s="980"/>
      <c r="L76" s="980"/>
      <c r="M76" s="980"/>
      <c r="N76" s="980"/>
      <c r="O76" s="980"/>
      <c r="P76" s="979"/>
      <c r="Q76" s="980"/>
      <c r="R76" s="978"/>
      <c r="S76" s="980"/>
      <c r="T76" s="980"/>
      <c r="U76" s="980"/>
      <c r="V76" s="980"/>
      <c r="W76" s="980"/>
      <c r="X76" s="980"/>
      <c r="Y76" s="980"/>
      <c r="Z76" s="980"/>
      <c r="AA76" s="980"/>
      <c r="AB76" s="980"/>
      <c r="AC76" s="978">
        <f t="shared" si="2"/>
        <v>0</v>
      </c>
      <c r="AD76" s="979">
        <f t="shared" si="3"/>
        <v>0</v>
      </c>
    </row>
    <row r="77" spans="1:30" ht="12.75">
      <c r="A77" s="1008"/>
      <c r="B77" s="527" t="s">
        <v>267</v>
      </c>
      <c r="C77" s="526"/>
      <c r="D77" s="528"/>
      <c r="E77" s="526"/>
      <c r="F77" s="528"/>
      <c r="G77" s="526"/>
      <c r="H77" s="528"/>
      <c r="I77" s="527"/>
      <c r="J77" s="527"/>
      <c r="K77" s="527"/>
      <c r="L77" s="527"/>
      <c r="M77" s="527"/>
      <c r="N77" s="527"/>
      <c r="O77" s="527"/>
      <c r="P77" s="528"/>
      <c r="Q77" s="527"/>
      <c r="R77" s="527"/>
      <c r="S77" s="527"/>
      <c r="T77" s="527"/>
      <c r="U77" s="527"/>
      <c r="V77" s="527"/>
      <c r="W77" s="527"/>
      <c r="X77" s="527"/>
      <c r="Y77" s="527"/>
      <c r="Z77" s="527"/>
      <c r="AA77" s="527"/>
      <c r="AB77" s="527"/>
      <c r="AC77" s="526">
        <f t="shared" si="2"/>
        <v>0</v>
      </c>
      <c r="AD77" s="528">
        <f t="shared" si="3"/>
        <v>0</v>
      </c>
    </row>
    <row r="78" spans="1:30" ht="12.75">
      <c r="A78" s="1018"/>
      <c r="B78" s="964"/>
      <c r="C78" s="969"/>
      <c r="D78" s="975"/>
      <c r="E78" s="969"/>
      <c r="F78" s="1003"/>
      <c r="G78" s="969"/>
      <c r="H78" s="1003"/>
      <c r="I78" s="965"/>
      <c r="J78" s="965"/>
      <c r="K78" s="965"/>
      <c r="L78" s="965"/>
      <c r="M78" s="965"/>
      <c r="N78" s="965"/>
      <c r="O78" s="965"/>
      <c r="P78" s="970"/>
      <c r="Q78" s="965"/>
      <c r="R78" s="997"/>
      <c r="S78" s="965"/>
      <c r="T78" s="965"/>
      <c r="U78" s="965"/>
      <c r="V78" s="965"/>
      <c r="W78" s="965"/>
      <c r="X78" s="965"/>
      <c r="Y78" s="965"/>
      <c r="Z78" s="965"/>
      <c r="AA78" s="965"/>
      <c r="AB78" s="965"/>
      <c r="AC78" s="997">
        <f t="shared" si="2"/>
        <v>0</v>
      </c>
      <c r="AD78" s="970">
        <f t="shared" si="3"/>
        <v>0</v>
      </c>
    </row>
    <row r="79" spans="1:30" ht="12.75">
      <c r="A79" s="1019"/>
      <c r="B79" s="966"/>
      <c r="C79" s="972"/>
      <c r="D79" s="976"/>
      <c r="E79" s="972"/>
      <c r="F79" s="999"/>
      <c r="G79" s="972"/>
      <c r="H79" s="999"/>
      <c r="I79" s="967"/>
      <c r="J79" s="967"/>
      <c r="K79" s="967"/>
      <c r="L79" s="967"/>
      <c r="M79" s="967"/>
      <c r="N79" s="967"/>
      <c r="O79" s="967"/>
      <c r="P79" s="973"/>
      <c r="Q79" s="967"/>
      <c r="R79" s="974"/>
      <c r="S79" s="967"/>
      <c r="T79" s="967"/>
      <c r="U79" s="967"/>
      <c r="V79" s="967"/>
      <c r="W79" s="967"/>
      <c r="X79" s="967"/>
      <c r="Y79" s="967"/>
      <c r="Z79" s="967"/>
      <c r="AA79" s="967"/>
      <c r="AB79" s="967"/>
      <c r="AC79" s="974">
        <f t="shared" si="2"/>
        <v>0</v>
      </c>
      <c r="AD79" s="973">
        <f t="shared" si="3"/>
        <v>0</v>
      </c>
    </row>
    <row r="80" spans="1:30" ht="12.75">
      <c r="A80" s="1019"/>
      <c r="B80" s="966"/>
      <c r="C80" s="972"/>
      <c r="D80" s="976"/>
      <c r="E80" s="972"/>
      <c r="F80" s="999"/>
      <c r="G80" s="972"/>
      <c r="H80" s="999"/>
      <c r="I80" s="967"/>
      <c r="J80" s="967"/>
      <c r="K80" s="967"/>
      <c r="L80" s="967"/>
      <c r="M80" s="967"/>
      <c r="N80" s="967"/>
      <c r="O80" s="967"/>
      <c r="P80" s="973"/>
      <c r="Q80" s="967"/>
      <c r="R80" s="974"/>
      <c r="S80" s="967"/>
      <c r="T80" s="967"/>
      <c r="U80" s="967"/>
      <c r="V80" s="967"/>
      <c r="W80" s="967"/>
      <c r="X80" s="967"/>
      <c r="Y80" s="967"/>
      <c r="Z80" s="967"/>
      <c r="AA80" s="967"/>
      <c r="AB80" s="967"/>
      <c r="AC80" s="974">
        <f t="shared" si="2"/>
        <v>0</v>
      </c>
      <c r="AD80" s="973">
        <f t="shared" si="3"/>
        <v>0</v>
      </c>
    </row>
    <row r="81" spans="1:30" ht="12.75">
      <c r="A81" s="1019"/>
      <c r="B81" s="966"/>
      <c r="C81" s="972"/>
      <c r="D81" s="976"/>
      <c r="E81" s="972"/>
      <c r="F81" s="999"/>
      <c r="G81" s="972"/>
      <c r="H81" s="999"/>
      <c r="I81" s="967"/>
      <c r="J81" s="967"/>
      <c r="K81" s="967"/>
      <c r="L81" s="967"/>
      <c r="M81" s="967"/>
      <c r="N81" s="967"/>
      <c r="O81" s="967"/>
      <c r="P81" s="973"/>
      <c r="Q81" s="967"/>
      <c r="R81" s="974"/>
      <c r="S81" s="967"/>
      <c r="T81" s="967"/>
      <c r="U81" s="967"/>
      <c r="V81" s="967"/>
      <c r="W81" s="967"/>
      <c r="X81" s="967"/>
      <c r="Y81" s="967"/>
      <c r="Z81" s="967"/>
      <c r="AA81" s="967"/>
      <c r="AB81" s="967"/>
      <c r="AC81" s="974">
        <f t="shared" si="2"/>
        <v>0</v>
      </c>
      <c r="AD81" s="973">
        <f t="shared" si="3"/>
        <v>0</v>
      </c>
    </row>
    <row r="82" spans="1:30" ht="12.75">
      <c r="A82" s="1019"/>
      <c r="B82" s="966"/>
      <c r="C82" s="972"/>
      <c r="D82" s="976"/>
      <c r="E82" s="972"/>
      <c r="F82" s="999"/>
      <c r="G82" s="972"/>
      <c r="H82" s="999"/>
      <c r="I82" s="967"/>
      <c r="J82" s="967"/>
      <c r="K82" s="967"/>
      <c r="L82" s="967"/>
      <c r="M82" s="967"/>
      <c r="N82" s="967"/>
      <c r="O82" s="967"/>
      <c r="P82" s="973"/>
      <c r="Q82" s="967"/>
      <c r="R82" s="974"/>
      <c r="S82" s="967"/>
      <c r="T82" s="967"/>
      <c r="U82" s="967"/>
      <c r="V82" s="967"/>
      <c r="W82" s="967"/>
      <c r="X82" s="967"/>
      <c r="Y82" s="967"/>
      <c r="Z82" s="967"/>
      <c r="AA82" s="967"/>
      <c r="AB82" s="967"/>
      <c r="AC82" s="974">
        <f t="shared" si="2"/>
        <v>0</v>
      </c>
      <c r="AD82" s="973">
        <f t="shared" si="3"/>
        <v>0</v>
      </c>
    </row>
    <row r="83" spans="1:30" ht="12.75">
      <c r="A83" s="1019"/>
      <c r="B83" s="966"/>
      <c r="C83" s="972"/>
      <c r="D83" s="976"/>
      <c r="E83" s="972"/>
      <c r="F83" s="999"/>
      <c r="G83" s="972"/>
      <c r="H83" s="999"/>
      <c r="I83" s="967"/>
      <c r="J83" s="967"/>
      <c r="K83" s="967"/>
      <c r="L83" s="967"/>
      <c r="M83" s="967"/>
      <c r="N83" s="967"/>
      <c r="O83" s="967"/>
      <c r="P83" s="973"/>
      <c r="Q83" s="967"/>
      <c r="R83" s="974"/>
      <c r="S83" s="967"/>
      <c r="T83" s="967"/>
      <c r="U83" s="967"/>
      <c r="V83" s="967"/>
      <c r="W83" s="967"/>
      <c r="X83" s="967"/>
      <c r="Y83" s="967"/>
      <c r="Z83" s="967"/>
      <c r="AA83" s="967"/>
      <c r="AB83" s="967"/>
      <c r="AC83" s="974">
        <f t="shared" si="2"/>
        <v>0</v>
      </c>
      <c r="AD83" s="973">
        <f t="shared" si="3"/>
        <v>0</v>
      </c>
    </row>
    <row r="84" spans="1:30" ht="12.75">
      <c r="A84" s="1016"/>
      <c r="B84" s="966"/>
      <c r="C84" s="972"/>
      <c r="D84" s="999"/>
      <c r="E84" s="974"/>
      <c r="F84" s="999"/>
      <c r="G84" s="974"/>
      <c r="H84" s="999"/>
      <c r="I84" s="967"/>
      <c r="J84" s="967"/>
      <c r="K84" s="967"/>
      <c r="L84" s="967"/>
      <c r="M84" s="967"/>
      <c r="N84" s="967"/>
      <c r="O84" s="967"/>
      <c r="P84" s="973"/>
      <c r="Q84" s="967"/>
      <c r="R84" s="974"/>
      <c r="S84" s="967"/>
      <c r="T84" s="967"/>
      <c r="U84" s="967"/>
      <c r="V84" s="967"/>
      <c r="W84" s="967"/>
      <c r="X84" s="967"/>
      <c r="Y84" s="967"/>
      <c r="Z84" s="967"/>
      <c r="AA84" s="967"/>
      <c r="AB84" s="967"/>
      <c r="AC84" s="974">
        <f t="shared" si="2"/>
        <v>0</v>
      </c>
      <c r="AD84" s="973">
        <f t="shared" si="3"/>
        <v>0</v>
      </c>
    </row>
    <row r="85" spans="1:30" ht="12.75">
      <c r="A85" s="1016"/>
      <c r="B85" s="966"/>
      <c r="C85" s="972"/>
      <c r="D85" s="999"/>
      <c r="E85" s="974"/>
      <c r="F85" s="999"/>
      <c r="G85" s="974"/>
      <c r="H85" s="999"/>
      <c r="I85" s="967"/>
      <c r="J85" s="967"/>
      <c r="K85" s="967"/>
      <c r="L85" s="967"/>
      <c r="M85" s="967"/>
      <c r="N85" s="967"/>
      <c r="O85" s="967"/>
      <c r="P85" s="973"/>
      <c r="Q85" s="967"/>
      <c r="R85" s="974"/>
      <c r="S85" s="967"/>
      <c r="T85" s="967"/>
      <c r="U85" s="967"/>
      <c r="V85" s="967"/>
      <c r="W85" s="967"/>
      <c r="X85" s="967"/>
      <c r="Y85" s="967"/>
      <c r="Z85" s="967"/>
      <c r="AA85" s="967"/>
      <c r="AB85" s="967"/>
      <c r="AC85" s="974">
        <f t="shared" si="2"/>
        <v>0</v>
      </c>
      <c r="AD85" s="973">
        <f t="shared" si="3"/>
        <v>0</v>
      </c>
    </row>
    <row r="86" spans="1:30" ht="12.75">
      <c r="A86" s="1016"/>
      <c r="B86" s="966"/>
      <c r="C86" s="972"/>
      <c r="D86" s="999"/>
      <c r="E86" s="974"/>
      <c r="F86" s="999"/>
      <c r="G86" s="974"/>
      <c r="H86" s="999"/>
      <c r="I86" s="967"/>
      <c r="J86" s="967"/>
      <c r="K86" s="967"/>
      <c r="L86" s="967"/>
      <c r="M86" s="967"/>
      <c r="N86" s="967"/>
      <c r="O86" s="967"/>
      <c r="P86" s="973"/>
      <c r="Q86" s="967"/>
      <c r="R86" s="974"/>
      <c r="S86" s="967"/>
      <c r="T86" s="967"/>
      <c r="U86" s="967"/>
      <c r="V86" s="967"/>
      <c r="W86" s="967"/>
      <c r="X86" s="967"/>
      <c r="Y86" s="967"/>
      <c r="Z86" s="967"/>
      <c r="AA86" s="967"/>
      <c r="AB86" s="967"/>
      <c r="AC86" s="974">
        <f t="shared" si="2"/>
        <v>0</v>
      </c>
      <c r="AD86" s="973">
        <f t="shared" si="3"/>
        <v>0</v>
      </c>
    </row>
    <row r="87" spans="1:30" ht="12.75">
      <c r="A87" s="1017"/>
      <c r="B87" s="998"/>
      <c r="C87" s="977"/>
      <c r="D87" s="1004"/>
      <c r="E87" s="978"/>
      <c r="F87" s="1004"/>
      <c r="G87" s="978"/>
      <c r="H87" s="1004"/>
      <c r="I87" s="980"/>
      <c r="J87" s="980"/>
      <c r="K87" s="980"/>
      <c r="L87" s="980"/>
      <c r="M87" s="980"/>
      <c r="N87" s="980"/>
      <c r="O87" s="980"/>
      <c r="P87" s="979"/>
      <c r="Q87" s="980"/>
      <c r="R87" s="978"/>
      <c r="S87" s="980"/>
      <c r="T87" s="980"/>
      <c r="U87" s="980"/>
      <c r="V87" s="980"/>
      <c r="W87" s="980"/>
      <c r="X87" s="980"/>
      <c r="Y87" s="980"/>
      <c r="Z87" s="980"/>
      <c r="AA87" s="980"/>
      <c r="AB87" s="980"/>
      <c r="AC87" s="978">
        <f t="shared" si="2"/>
        <v>0</v>
      </c>
      <c r="AD87" s="979">
        <f t="shared" si="3"/>
        <v>0</v>
      </c>
    </row>
    <row r="88" spans="1:30" ht="12.75">
      <c r="A88" s="1021"/>
      <c r="B88" s="533"/>
      <c r="C88" s="533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</row>
    <row r="89" spans="1:30" ht="12.75">
      <c r="A89" s="1021"/>
      <c r="B89" s="533"/>
      <c r="C89" s="533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</row>
    <row r="90" spans="1:30" ht="12.75">
      <c r="A90" s="1021"/>
      <c r="B90" s="533"/>
      <c r="C90" s="533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</row>
    <row r="91" spans="1:30" ht="12.75">
      <c r="A91" s="1021"/>
      <c r="B91" s="533"/>
      <c r="C91" s="533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</row>
    <row r="92" spans="1:30" ht="12.75">
      <c r="A92" s="1021"/>
      <c r="B92" s="533"/>
      <c r="C92" s="533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</row>
    <row r="111" spans="1:30" s="812" customFormat="1" ht="12.75">
      <c r="A111" s="1022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</row>
    <row r="112" spans="1:30" s="812" customFormat="1" ht="12.75">
      <c r="A112" s="1022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</row>
    <row r="113" spans="1:30" s="812" customFormat="1" ht="12.75">
      <c r="A113" s="1022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</row>
    <row r="114" spans="1:30" s="812" customFormat="1" ht="12.75">
      <c r="A114" s="1022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</row>
    <row r="115" spans="1:30" s="812" customFormat="1" ht="12.75">
      <c r="A115" s="1022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</row>
    <row r="116" spans="1:30" s="812" customFormat="1" ht="12.75">
      <c r="A116" s="1022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</row>
    <row r="117" spans="1:30" s="812" customFormat="1" ht="12.75">
      <c r="A117" s="1022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</row>
    <row r="118" spans="1:30" s="812" customFormat="1" ht="12.75">
      <c r="A118" s="1022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</row>
  </sheetData>
  <sheetProtection/>
  <mergeCells count="15">
    <mergeCell ref="A54:D54"/>
    <mergeCell ref="E1:F1"/>
    <mergeCell ref="G1:H1"/>
    <mergeCell ref="K1:L1"/>
    <mergeCell ref="M1:N1"/>
    <mergeCell ref="O1:P1"/>
    <mergeCell ref="Q1:R1"/>
    <mergeCell ref="I1:J1"/>
    <mergeCell ref="A2:D2"/>
    <mergeCell ref="AA1:AB1"/>
    <mergeCell ref="AC1:AD1"/>
    <mergeCell ref="S1:T1"/>
    <mergeCell ref="U1:V1"/>
    <mergeCell ref="W1:X1"/>
    <mergeCell ref="Y1:Z1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euil18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Feuil26"/>
  <dimension ref="A1:R219"/>
  <sheetViews>
    <sheetView zoomScalePageLayoutView="0" workbookViewId="0" topLeftCell="A1">
      <selection activeCell="A167" sqref="A167:F219"/>
    </sheetView>
  </sheetViews>
  <sheetFormatPr defaultColWidth="11.421875" defaultRowHeight="12.75"/>
  <cols>
    <col min="1" max="1" width="6.421875" style="0" customWidth="1"/>
    <col min="2" max="2" width="7.421875" style="0" customWidth="1"/>
    <col min="3" max="3" width="45.57421875" style="0" customWidth="1"/>
  </cols>
  <sheetData>
    <row r="1" spans="1:10" ht="12.75">
      <c r="A1" s="2079" t="s">
        <v>510</v>
      </c>
      <c r="B1" s="2079"/>
      <c r="C1" s="2079"/>
      <c r="D1" s="2079"/>
      <c r="E1" s="2079"/>
      <c r="F1" s="2079"/>
      <c r="G1" s="2079"/>
      <c r="H1" s="579"/>
      <c r="I1" s="579"/>
      <c r="J1" s="580"/>
    </row>
    <row r="3" spans="1:10" ht="12.75">
      <c r="A3" s="2080"/>
      <c r="B3" s="2081"/>
      <c r="C3" s="2081"/>
      <c r="D3" s="2081"/>
      <c r="E3" s="2081"/>
      <c r="F3" s="2082"/>
      <c r="G3" s="453"/>
      <c r="H3" s="453"/>
      <c r="I3" s="453"/>
      <c r="J3" s="453"/>
    </row>
    <row r="4" spans="1:10" s="538" customFormat="1" ht="12.75">
      <c r="A4" s="585"/>
      <c r="B4" s="585"/>
      <c r="C4" s="585"/>
      <c r="D4" s="585"/>
      <c r="E4" s="585"/>
      <c r="F4" s="585"/>
      <c r="G4" s="587"/>
      <c r="H4" s="586"/>
      <c r="I4" s="586"/>
      <c r="J4" s="586"/>
    </row>
    <row r="5" spans="1:10" s="538" customFormat="1" ht="12.75">
      <c r="A5" s="1479" t="s">
        <v>506</v>
      </c>
      <c r="B5" s="1478"/>
      <c r="C5" s="1478"/>
      <c r="D5" s="1478"/>
      <c r="E5" s="1478"/>
      <c r="F5" s="1480"/>
      <c r="G5" s="586"/>
      <c r="H5" s="586"/>
      <c r="I5" s="586"/>
      <c r="J5" s="586"/>
    </row>
    <row r="6" spans="1:6" ht="12.75">
      <c r="A6" s="243" t="s">
        <v>499</v>
      </c>
      <c r="B6" s="236" t="s">
        <v>518</v>
      </c>
      <c r="C6" s="521" t="s">
        <v>423</v>
      </c>
      <c r="D6" s="521" t="s">
        <v>497</v>
      </c>
      <c r="E6" s="521" t="s">
        <v>498</v>
      </c>
      <c r="F6" s="515" t="s">
        <v>1264</v>
      </c>
    </row>
    <row r="7" spans="1:6" ht="12.75">
      <c r="A7" s="581"/>
      <c r="B7" s="529">
        <v>707</v>
      </c>
      <c r="C7" s="530" t="s">
        <v>995</v>
      </c>
      <c r="D7" s="582"/>
      <c r="E7" s="582"/>
      <c r="F7" s="582"/>
    </row>
    <row r="8" spans="1:6" ht="12.75">
      <c r="A8" s="535"/>
      <c r="B8" s="532">
        <v>701</v>
      </c>
      <c r="C8" s="533" t="s">
        <v>505</v>
      </c>
      <c r="D8" s="583"/>
      <c r="E8" s="583"/>
      <c r="F8" s="583"/>
    </row>
    <row r="9" spans="1:6" ht="12.75">
      <c r="A9" s="535"/>
      <c r="B9" s="532">
        <v>7085</v>
      </c>
      <c r="C9" s="533" t="s">
        <v>431</v>
      </c>
      <c r="D9" s="583"/>
      <c r="E9" s="583"/>
      <c r="F9" s="583"/>
    </row>
    <row r="10" spans="1:6" ht="12.75">
      <c r="A10" s="535"/>
      <c r="B10" s="532">
        <v>44571</v>
      </c>
      <c r="C10" s="533" t="s">
        <v>432</v>
      </c>
      <c r="D10" s="583"/>
      <c r="E10" s="583"/>
      <c r="F10" s="583"/>
    </row>
    <row r="11" spans="1:6" ht="12.75">
      <c r="A11" s="535"/>
      <c r="B11" s="532">
        <v>4191</v>
      </c>
      <c r="C11" s="533" t="s">
        <v>433</v>
      </c>
      <c r="D11" s="583"/>
      <c r="E11" s="583"/>
      <c r="F11" s="583"/>
    </row>
    <row r="12" spans="1:6" ht="12.75">
      <c r="A12" s="535"/>
      <c r="B12" s="532">
        <v>4191</v>
      </c>
      <c r="C12" s="533" t="s">
        <v>993</v>
      </c>
      <c r="D12" s="583"/>
      <c r="E12" s="583"/>
      <c r="F12" s="583"/>
    </row>
    <row r="13" spans="1:6" ht="12.75">
      <c r="A13" s="535"/>
      <c r="B13" s="166">
        <v>709</v>
      </c>
      <c r="C13" s="533" t="s">
        <v>434</v>
      </c>
      <c r="D13" s="583"/>
      <c r="E13" s="583"/>
      <c r="F13" s="583"/>
    </row>
    <row r="14" spans="1:6" ht="12.75">
      <c r="A14" s="535"/>
      <c r="B14" s="166">
        <v>665</v>
      </c>
      <c r="C14" s="533" t="s">
        <v>435</v>
      </c>
      <c r="D14" s="583"/>
      <c r="E14" s="583"/>
      <c r="F14" s="583"/>
    </row>
    <row r="15" spans="1:6" ht="12.75">
      <c r="A15" s="535"/>
      <c r="B15" s="166">
        <v>411</v>
      </c>
      <c r="C15" s="533" t="s">
        <v>436</v>
      </c>
      <c r="D15" s="583"/>
      <c r="E15" s="583"/>
      <c r="F15" s="583"/>
    </row>
    <row r="16" spans="1:6" ht="12.75">
      <c r="A16" s="537"/>
      <c r="B16" s="168"/>
      <c r="C16" s="588" t="s">
        <v>504</v>
      </c>
      <c r="D16" s="584" t="s">
        <v>502</v>
      </c>
      <c r="E16" s="584" t="s">
        <v>501</v>
      </c>
      <c r="F16" s="584" t="s">
        <v>503</v>
      </c>
    </row>
    <row r="17" spans="1:6" ht="12.75">
      <c r="A17" s="581"/>
      <c r="B17" s="529"/>
      <c r="C17" s="530"/>
      <c r="D17" s="582"/>
      <c r="E17" s="582"/>
      <c r="F17" s="582"/>
    </row>
    <row r="18" spans="1:6" ht="12.75">
      <c r="A18" s="535"/>
      <c r="B18" s="532"/>
      <c r="C18" s="533"/>
      <c r="D18" s="583"/>
      <c r="E18" s="583"/>
      <c r="F18" s="583"/>
    </row>
    <row r="19" spans="1:6" ht="12.75">
      <c r="A19" s="535"/>
      <c r="B19" s="532"/>
      <c r="C19" s="533"/>
      <c r="D19" s="583"/>
      <c r="E19" s="583"/>
      <c r="F19" s="583"/>
    </row>
    <row r="20" spans="1:6" ht="12.75">
      <c r="A20" s="535"/>
      <c r="B20" s="532"/>
      <c r="C20" s="533"/>
      <c r="D20" s="583"/>
      <c r="E20" s="583"/>
      <c r="F20" s="583"/>
    </row>
    <row r="21" spans="1:6" ht="12.75">
      <c r="A21" s="535"/>
      <c r="B21" s="532"/>
      <c r="C21" s="533"/>
      <c r="D21" s="583"/>
      <c r="E21" s="583"/>
      <c r="F21" s="583"/>
    </row>
    <row r="22" spans="1:6" ht="12.75">
      <c r="A22" s="535"/>
      <c r="B22" s="532"/>
      <c r="C22" s="533"/>
      <c r="D22" s="583"/>
      <c r="E22" s="583"/>
      <c r="F22" s="583"/>
    </row>
    <row r="23" spans="1:6" ht="12.75">
      <c r="A23" s="535"/>
      <c r="B23" s="532"/>
      <c r="C23" s="533"/>
      <c r="D23" s="583"/>
      <c r="E23" s="583"/>
      <c r="F23" s="583"/>
    </row>
    <row r="24" spans="1:6" ht="12.75">
      <c r="A24" s="535"/>
      <c r="B24" s="532"/>
      <c r="C24" s="533"/>
      <c r="D24" s="583"/>
      <c r="E24" s="583"/>
      <c r="F24" s="583"/>
    </row>
    <row r="25" spans="1:6" ht="12.75">
      <c r="A25" s="535"/>
      <c r="B25" s="532"/>
      <c r="C25" s="533"/>
      <c r="D25" s="583"/>
      <c r="E25" s="583"/>
      <c r="F25" s="583"/>
    </row>
    <row r="26" spans="1:6" ht="12.75">
      <c r="A26" s="535"/>
      <c r="B26" s="532"/>
      <c r="C26" s="533"/>
      <c r="D26" s="583"/>
      <c r="E26" s="583"/>
      <c r="F26" s="583"/>
    </row>
    <row r="27" spans="1:6" ht="12.75">
      <c r="A27" s="535"/>
      <c r="B27" s="532"/>
      <c r="C27" s="533"/>
      <c r="D27" s="583"/>
      <c r="E27" s="583"/>
      <c r="F27" s="583"/>
    </row>
    <row r="28" spans="1:6" ht="12.75">
      <c r="A28" s="535"/>
      <c r="B28" s="532"/>
      <c r="C28" s="533"/>
      <c r="D28" s="583"/>
      <c r="E28" s="583"/>
      <c r="F28" s="583"/>
    </row>
    <row r="29" spans="1:6" ht="12.75">
      <c r="A29" s="535"/>
      <c r="B29" s="532"/>
      <c r="C29" s="533"/>
      <c r="D29" s="583"/>
      <c r="E29" s="583"/>
      <c r="F29" s="583"/>
    </row>
    <row r="30" spans="1:6" ht="12.75">
      <c r="A30" s="535"/>
      <c r="B30" s="532"/>
      <c r="C30" s="533"/>
      <c r="D30" s="583"/>
      <c r="E30" s="583"/>
      <c r="F30" s="583"/>
    </row>
    <row r="31" spans="1:6" ht="12.75">
      <c r="A31" s="535"/>
      <c r="B31" s="532"/>
      <c r="C31" s="533"/>
      <c r="D31" s="583"/>
      <c r="E31" s="583"/>
      <c r="F31" s="583"/>
    </row>
    <row r="32" spans="1:6" ht="12.75">
      <c r="A32" s="535"/>
      <c r="B32" s="532"/>
      <c r="C32" s="533"/>
      <c r="D32" s="583"/>
      <c r="E32" s="583"/>
      <c r="F32" s="583"/>
    </row>
    <row r="33" spans="1:6" ht="12.75">
      <c r="A33" s="535"/>
      <c r="B33" s="532"/>
      <c r="C33" s="533"/>
      <c r="D33" s="583"/>
      <c r="E33" s="583"/>
      <c r="F33" s="583"/>
    </row>
    <row r="34" spans="1:6" ht="12.75">
      <c r="A34" s="535"/>
      <c r="B34" s="532"/>
      <c r="C34" s="533"/>
      <c r="D34" s="583"/>
      <c r="E34" s="583"/>
      <c r="F34" s="583"/>
    </row>
    <row r="35" spans="1:6" ht="12.75">
      <c r="A35" s="535"/>
      <c r="B35" s="532"/>
      <c r="C35" s="533"/>
      <c r="D35" s="583"/>
      <c r="E35" s="583"/>
      <c r="F35" s="583"/>
    </row>
    <row r="36" spans="1:6" ht="12.75">
      <c r="A36" s="535"/>
      <c r="B36" s="532"/>
      <c r="C36" s="533"/>
      <c r="D36" s="583"/>
      <c r="E36" s="583"/>
      <c r="F36" s="583"/>
    </row>
    <row r="37" spans="1:6" ht="12.75">
      <c r="A37" s="535"/>
      <c r="B37" s="532"/>
      <c r="C37" s="533"/>
      <c r="D37" s="583"/>
      <c r="E37" s="583"/>
      <c r="F37" s="583"/>
    </row>
    <row r="38" spans="1:6" ht="12.75">
      <c r="A38" s="535"/>
      <c r="B38" s="532"/>
      <c r="C38" s="533"/>
      <c r="D38" s="583"/>
      <c r="E38" s="583"/>
      <c r="F38" s="583"/>
    </row>
    <row r="39" spans="1:6" ht="12.75">
      <c r="A39" s="535"/>
      <c r="B39" s="532"/>
      <c r="C39" s="533"/>
      <c r="D39" s="583"/>
      <c r="E39" s="583"/>
      <c r="F39" s="583"/>
    </row>
    <row r="40" spans="1:6" ht="12.75">
      <c r="A40" s="535"/>
      <c r="B40" s="532"/>
      <c r="C40" s="533"/>
      <c r="D40" s="583"/>
      <c r="E40" s="583"/>
      <c r="F40" s="583"/>
    </row>
    <row r="41" spans="1:6" ht="12.75">
      <c r="A41" s="535"/>
      <c r="B41" s="532"/>
      <c r="C41" s="533"/>
      <c r="D41" s="583"/>
      <c r="E41" s="583"/>
      <c r="F41" s="583"/>
    </row>
    <row r="42" spans="1:6" ht="12.75">
      <c r="A42" s="535"/>
      <c r="B42" s="532"/>
      <c r="C42" s="533"/>
      <c r="D42" s="583"/>
      <c r="E42" s="583"/>
      <c r="F42" s="583"/>
    </row>
    <row r="43" spans="1:6" ht="12.75">
      <c r="A43" s="535"/>
      <c r="B43" s="532"/>
      <c r="C43" s="533"/>
      <c r="D43" s="583"/>
      <c r="E43" s="583"/>
      <c r="F43" s="583"/>
    </row>
    <row r="44" spans="1:6" ht="12.75">
      <c r="A44" s="535"/>
      <c r="B44" s="532"/>
      <c r="C44" s="533"/>
      <c r="D44" s="583"/>
      <c r="E44" s="583"/>
      <c r="F44" s="583"/>
    </row>
    <row r="45" spans="1:6" ht="12.75">
      <c r="A45" s="535"/>
      <c r="B45" s="532"/>
      <c r="C45" s="533"/>
      <c r="D45" s="583"/>
      <c r="E45" s="583"/>
      <c r="F45" s="583"/>
    </row>
    <row r="46" spans="1:6" ht="12.75">
      <c r="A46" s="535"/>
      <c r="B46" s="532"/>
      <c r="C46" s="533"/>
      <c r="D46" s="583"/>
      <c r="E46" s="583"/>
      <c r="F46" s="583"/>
    </row>
    <row r="47" spans="1:6" ht="12.75">
      <c r="A47" s="535"/>
      <c r="B47" s="532"/>
      <c r="C47" s="533"/>
      <c r="D47" s="583"/>
      <c r="E47" s="583"/>
      <c r="F47" s="583"/>
    </row>
    <row r="48" spans="1:6" ht="12.75">
      <c r="A48" s="535"/>
      <c r="B48" s="532"/>
      <c r="C48" s="533"/>
      <c r="D48" s="583"/>
      <c r="E48" s="583"/>
      <c r="F48" s="583"/>
    </row>
    <row r="49" spans="1:6" ht="12.75">
      <c r="A49" s="535"/>
      <c r="B49" s="532"/>
      <c r="C49" s="533"/>
      <c r="D49" s="583"/>
      <c r="E49" s="583"/>
      <c r="F49" s="583"/>
    </row>
    <row r="50" spans="1:6" ht="12.75">
      <c r="A50" s="535"/>
      <c r="B50" s="532"/>
      <c r="C50" s="533"/>
      <c r="D50" s="583"/>
      <c r="E50" s="583"/>
      <c r="F50" s="583"/>
    </row>
    <row r="51" spans="1:6" ht="12.75">
      <c r="A51" s="535"/>
      <c r="B51" s="532"/>
      <c r="C51" s="533"/>
      <c r="D51" s="583"/>
      <c r="E51" s="583"/>
      <c r="F51" s="583"/>
    </row>
    <row r="52" spans="1:6" ht="12.75">
      <c r="A52" s="535"/>
      <c r="B52" s="532"/>
      <c r="C52" s="533"/>
      <c r="D52" s="583"/>
      <c r="E52" s="583"/>
      <c r="F52" s="583"/>
    </row>
    <row r="53" spans="1:6" ht="12.75">
      <c r="A53" s="535"/>
      <c r="B53" s="532"/>
      <c r="C53" s="533"/>
      <c r="D53" s="583"/>
      <c r="E53" s="583"/>
      <c r="F53" s="583"/>
    </row>
    <row r="54" spans="1:6" ht="12.75">
      <c r="A54" s="537"/>
      <c r="B54" s="591"/>
      <c r="C54" s="536"/>
      <c r="D54" s="592"/>
      <c r="E54" s="592"/>
      <c r="F54" s="592"/>
    </row>
    <row r="55" spans="1:6" ht="12.75">
      <c r="A55" s="243"/>
      <c r="B55" s="236"/>
      <c r="C55" s="521" t="s">
        <v>519</v>
      </c>
      <c r="D55" s="590"/>
      <c r="E55" s="590"/>
      <c r="F55" s="590"/>
    </row>
    <row r="56" spans="1:6" ht="12.75">
      <c r="A56" s="1478" t="s">
        <v>507</v>
      </c>
      <c r="B56" s="1478"/>
      <c r="C56" s="1478"/>
      <c r="D56" s="1478"/>
      <c r="E56" s="1478"/>
      <c r="F56" s="1478"/>
    </row>
    <row r="57" spans="1:6" ht="12.75">
      <c r="A57" s="236" t="s">
        <v>499</v>
      </c>
      <c r="B57" s="236" t="s">
        <v>500</v>
      </c>
      <c r="C57" s="7"/>
      <c r="D57" s="521" t="s">
        <v>497</v>
      </c>
      <c r="E57" s="521" t="s">
        <v>498</v>
      </c>
      <c r="F57" s="515" t="s">
        <v>1264</v>
      </c>
    </row>
    <row r="58" spans="1:6" ht="12.75">
      <c r="A58" s="581"/>
      <c r="B58" s="529"/>
      <c r="C58" s="531"/>
      <c r="D58" s="519"/>
      <c r="E58" s="582"/>
      <c r="F58" s="582"/>
    </row>
    <row r="59" spans="1:6" ht="12.75">
      <c r="A59" s="535"/>
      <c r="B59" s="532"/>
      <c r="C59" s="534"/>
      <c r="D59" s="589"/>
      <c r="E59" s="583"/>
      <c r="F59" s="583"/>
    </row>
    <row r="60" spans="1:6" ht="12.75">
      <c r="A60" s="535"/>
      <c r="B60" s="532"/>
      <c r="C60" s="534"/>
      <c r="D60" s="589"/>
      <c r="E60" s="583"/>
      <c r="F60" s="583"/>
    </row>
    <row r="61" spans="1:6" ht="12.75">
      <c r="A61" s="535"/>
      <c r="B61" s="532"/>
      <c r="C61" s="534"/>
      <c r="D61" s="589"/>
      <c r="E61" s="583"/>
      <c r="F61" s="583"/>
    </row>
    <row r="62" spans="1:6" ht="12.75">
      <c r="A62" s="535"/>
      <c r="B62" s="532"/>
      <c r="C62" s="534"/>
      <c r="D62" s="589"/>
      <c r="E62" s="583"/>
      <c r="F62" s="583"/>
    </row>
    <row r="63" spans="1:6" ht="12.75">
      <c r="A63" s="535"/>
      <c r="B63" s="532"/>
      <c r="C63" s="534"/>
      <c r="D63" s="589"/>
      <c r="E63" s="583"/>
      <c r="F63" s="583"/>
    </row>
    <row r="64" spans="1:6" ht="12.75">
      <c r="A64" s="535"/>
      <c r="B64" s="532"/>
      <c r="C64" s="534"/>
      <c r="D64" s="589"/>
      <c r="E64" s="583"/>
      <c r="F64" s="583"/>
    </row>
    <row r="65" spans="1:6" ht="12.75">
      <c r="A65" s="535"/>
      <c r="B65" s="532"/>
      <c r="C65" s="534"/>
      <c r="D65" s="589"/>
      <c r="E65" s="583"/>
      <c r="F65" s="583"/>
    </row>
    <row r="66" spans="1:6" ht="12.75">
      <c r="A66" s="535"/>
      <c r="B66" s="532"/>
      <c r="C66" s="534"/>
      <c r="D66" s="589"/>
      <c r="E66" s="583"/>
      <c r="F66" s="583"/>
    </row>
    <row r="67" spans="1:6" ht="12.75">
      <c r="A67" s="535"/>
      <c r="B67" s="532"/>
      <c r="C67" s="534"/>
      <c r="D67" s="589"/>
      <c r="E67" s="583"/>
      <c r="F67" s="583"/>
    </row>
    <row r="68" spans="1:6" ht="12.75">
      <c r="A68" s="535"/>
      <c r="B68" s="532"/>
      <c r="C68" s="534"/>
      <c r="D68" s="589"/>
      <c r="E68" s="583"/>
      <c r="F68" s="583"/>
    </row>
    <row r="69" spans="1:6" ht="12.75">
      <c r="A69" s="535"/>
      <c r="B69" s="532"/>
      <c r="C69" s="534"/>
      <c r="D69" s="589"/>
      <c r="E69" s="583"/>
      <c r="F69" s="583"/>
    </row>
    <row r="70" spans="1:6" ht="12.75">
      <c r="A70" s="535"/>
      <c r="B70" s="532"/>
      <c r="C70" s="534"/>
      <c r="D70" s="589"/>
      <c r="E70" s="583"/>
      <c r="F70" s="583"/>
    </row>
    <row r="71" spans="1:6" ht="12.75">
      <c r="A71" s="535"/>
      <c r="B71" s="532"/>
      <c r="C71" s="534"/>
      <c r="D71" s="589"/>
      <c r="E71" s="583"/>
      <c r="F71" s="583"/>
    </row>
    <row r="72" spans="1:6" ht="12.75">
      <c r="A72" s="535"/>
      <c r="B72" s="532"/>
      <c r="C72" s="534"/>
      <c r="D72" s="589"/>
      <c r="E72" s="583"/>
      <c r="F72" s="583"/>
    </row>
    <row r="73" spans="1:6" ht="12.75">
      <c r="A73" s="535"/>
      <c r="B73" s="532"/>
      <c r="C73" s="534"/>
      <c r="D73" s="589"/>
      <c r="E73" s="583"/>
      <c r="F73" s="583"/>
    </row>
    <row r="74" spans="1:6" ht="12.75">
      <c r="A74" s="535"/>
      <c r="B74" s="532"/>
      <c r="C74" s="534"/>
      <c r="D74" s="589"/>
      <c r="E74" s="583"/>
      <c r="F74" s="583"/>
    </row>
    <row r="75" spans="1:6" ht="12.75">
      <c r="A75" s="535"/>
      <c r="B75" s="532"/>
      <c r="C75" s="534"/>
      <c r="D75" s="589"/>
      <c r="E75" s="583"/>
      <c r="F75" s="583"/>
    </row>
    <row r="76" spans="1:6" ht="12.75">
      <c r="A76" s="535"/>
      <c r="B76" s="532"/>
      <c r="C76" s="534"/>
      <c r="D76" s="589"/>
      <c r="E76" s="583"/>
      <c r="F76" s="583"/>
    </row>
    <row r="77" spans="1:6" ht="12.75">
      <c r="A77" s="535"/>
      <c r="B77" s="532"/>
      <c r="C77" s="534"/>
      <c r="D77" s="589"/>
      <c r="E77" s="583"/>
      <c r="F77" s="583"/>
    </row>
    <row r="78" spans="1:6" ht="12.75">
      <c r="A78" s="535"/>
      <c r="B78" s="532"/>
      <c r="C78" s="534"/>
      <c r="D78" s="589"/>
      <c r="E78" s="583"/>
      <c r="F78" s="583"/>
    </row>
    <row r="79" spans="1:6" ht="12.75">
      <c r="A79" s="535"/>
      <c r="B79" s="532"/>
      <c r="C79" s="534"/>
      <c r="D79" s="589"/>
      <c r="E79" s="583"/>
      <c r="F79" s="583"/>
    </row>
    <row r="80" spans="1:6" ht="12.75">
      <c r="A80" s="535"/>
      <c r="B80" s="532"/>
      <c r="C80" s="534"/>
      <c r="D80" s="589"/>
      <c r="E80" s="583"/>
      <c r="F80" s="583"/>
    </row>
    <row r="81" spans="1:6" ht="12.75">
      <c r="A81" s="535"/>
      <c r="B81" s="532"/>
      <c r="C81" s="534"/>
      <c r="D81" s="589"/>
      <c r="E81" s="583"/>
      <c r="F81" s="583"/>
    </row>
    <row r="82" spans="1:6" ht="12.75">
      <c r="A82" s="535"/>
      <c r="B82" s="532"/>
      <c r="C82" s="534"/>
      <c r="D82" s="589"/>
      <c r="E82" s="583"/>
      <c r="F82" s="583"/>
    </row>
    <row r="83" spans="1:6" ht="12.75">
      <c r="A83" s="535"/>
      <c r="B83" s="532"/>
      <c r="C83" s="534"/>
      <c r="D83" s="589"/>
      <c r="E83" s="583"/>
      <c r="F83" s="583"/>
    </row>
    <row r="84" spans="1:6" ht="12.75">
      <c r="A84" s="535"/>
      <c r="B84" s="532"/>
      <c r="C84" s="534"/>
      <c r="D84" s="589"/>
      <c r="E84" s="583"/>
      <c r="F84" s="583"/>
    </row>
    <row r="85" spans="1:6" ht="12.75">
      <c r="A85" s="535"/>
      <c r="B85" s="532"/>
      <c r="C85" s="534"/>
      <c r="D85" s="589"/>
      <c r="E85" s="583"/>
      <c r="F85" s="583"/>
    </row>
    <row r="86" spans="1:6" ht="12.75">
      <c r="A86" s="535"/>
      <c r="B86" s="532"/>
      <c r="C86" s="534"/>
      <c r="D86" s="589"/>
      <c r="E86" s="583"/>
      <c r="F86" s="583"/>
    </row>
    <row r="87" spans="1:6" ht="12.75">
      <c r="A87" s="535"/>
      <c r="B87" s="532"/>
      <c r="C87" s="534"/>
      <c r="D87" s="589"/>
      <c r="E87" s="583"/>
      <c r="F87" s="583"/>
    </row>
    <row r="88" spans="1:6" ht="12.75">
      <c r="A88" s="535"/>
      <c r="B88" s="532"/>
      <c r="C88" s="534"/>
      <c r="D88" s="589"/>
      <c r="E88" s="583"/>
      <c r="F88" s="583"/>
    </row>
    <row r="89" spans="1:6" ht="12.75">
      <c r="A89" s="535"/>
      <c r="B89" s="532"/>
      <c r="C89" s="534"/>
      <c r="D89" s="589"/>
      <c r="E89" s="583"/>
      <c r="F89" s="583"/>
    </row>
    <row r="90" spans="1:6" ht="12.75">
      <c r="A90" s="535"/>
      <c r="B90" s="532"/>
      <c r="C90" s="534"/>
      <c r="D90" s="589"/>
      <c r="E90" s="583"/>
      <c r="F90" s="583"/>
    </row>
    <row r="91" spans="1:6" ht="12.75">
      <c r="A91" s="535"/>
      <c r="B91" s="532"/>
      <c r="C91" s="534"/>
      <c r="D91" s="589"/>
      <c r="E91" s="583"/>
      <c r="F91" s="583"/>
    </row>
    <row r="92" spans="1:6" ht="12.75">
      <c r="A92" s="535"/>
      <c r="B92" s="532"/>
      <c r="C92" s="534"/>
      <c r="D92" s="589"/>
      <c r="E92" s="583"/>
      <c r="F92" s="583"/>
    </row>
    <row r="93" spans="1:6" ht="12.75">
      <c r="A93" s="535"/>
      <c r="B93" s="532"/>
      <c r="C93" s="534"/>
      <c r="D93" s="589"/>
      <c r="E93" s="583"/>
      <c r="F93" s="583"/>
    </row>
    <row r="94" spans="1:6" ht="12.75">
      <c r="A94" s="535"/>
      <c r="B94" s="532"/>
      <c r="C94" s="534"/>
      <c r="D94" s="589"/>
      <c r="E94" s="583"/>
      <c r="F94" s="583"/>
    </row>
    <row r="95" spans="1:6" ht="12.75">
      <c r="A95" s="535"/>
      <c r="B95" s="532"/>
      <c r="C95" s="534"/>
      <c r="D95" s="589"/>
      <c r="E95" s="583"/>
      <c r="F95" s="583"/>
    </row>
    <row r="96" spans="1:6" ht="12.75">
      <c r="A96" s="535"/>
      <c r="B96" s="532"/>
      <c r="C96" s="534"/>
      <c r="D96" s="589"/>
      <c r="E96" s="583"/>
      <c r="F96" s="583"/>
    </row>
    <row r="97" spans="1:6" ht="12.75">
      <c r="A97" s="535"/>
      <c r="B97" s="532"/>
      <c r="C97" s="534"/>
      <c r="D97" s="589"/>
      <c r="E97" s="583"/>
      <c r="F97" s="583"/>
    </row>
    <row r="98" spans="1:6" ht="12.75">
      <c r="A98" s="535"/>
      <c r="B98" s="532"/>
      <c r="C98" s="534"/>
      <c r="D98" s="589"/>
      <c r="E98" s="583"/>
      <c r="F98" s="583"/>
    </row>
    <row r="99" spans="1:6" ht="12.75">
      <c r="A99" s="535"/>
      <c r="B99" s="532"/>
      <c r="C99" s="534"/>
      <c r="D99" s="589"/>
      <c r="E99" s="583"/>
      <c r="F99" s="583"/>
    </row>
    <row r="100" spans="1:6" ht="12.75">
      <c r="A100" s="535"/>
      <c r="B100" s="532"/>
      <c r="C100" s="534"/>
      <c r="D100" s="589"/>
      <c r="E100" s="583"/>
      <c r="F100" s="583"/>
    </row>
    <row r="101" spans="1:6" ht="12.75">
      <c r="A101" s="535"/>
      <c r="B101" s="532"/>
      <c r="C101" s="534"/>
      <c r="D101" s="589"/>
      <c r="E101" s="583"/>
      <c r="F101" s="583"/>
    </row>
    <row r="102" spans="1:6" ht="12.75">
      <c r="A102" s="535"/>
      <c r="B102" s="532"/>
      <c r="C102" s="534"/>
      <c r="D102" s="589"/>
      <c r="E102" s="583"/>
      <c r="F102" s="583"/>
    </row>
    <row r="103" spans="1:6" ht="12.75">
      <c r="A103" s="535"/>
      <c r="B103" s="532"/>
      <c r="C103" s="534"/>
      <c r="D103" s="589"/>
      <c r="E103" s="583"/>
      <c r="F103" s="583"/>
    </row>
    <row r="104" spans="1:6" ht="12.75">
      <c r="A104" s="535"/>
      <c r="B104" s="532"/>
      <c r="C104" s="534"/>
      <c r="D104" s="589"/>
      <c r="E104" s="583"/>
      <c r="F104" s="583"/>
    </row>
    <row r="105" spans="1:6" ht="12.75">
      <c r="A105" s="535"/>
      <c r="B105" s="532"/>
      <c r="C105" s="534"/>
      <c r="D105" s="589"/>
      <c r="E105" s="583"/>
      <c r="F105" s="583"/>
    </row>
    <row r="106" spans="1:6" ht="12.75">
      <c r="A106" s="535"/>
      <c r="B106" s="532"/>
      <c r="C106" s="534"/>
      <c r="D106" s="589"/>
      <c r="E106" s="583"/>
      <c r="F106" s="583"/>
    </row>
    <row r="107" spans="1:6" ht="12.75">
      <c r="A107" s="535"/>
      <c r="B107" s="532"/>
      <c r="C107" s="534"/>
      <c r="D107" s="589"/>
      <c r="E107" s="583"/>
      <c r="F107" s="583"/>
    </row>
    <row r="108" spans="1:6" ht="12.75">
      <c r="A108" s="535"/>
      <c r="B108" s="532"/>
      <c r="C108" s="534"/>
      <c r="D108" s="589"/>
      <c r="E108" s="583"/>
      <c r="F108" s="583"/>
    </row>
    <row r="109" spans="1:6" ht="12.75">
      <c r="A109" s="535"/>
      <c r="B109" s="532"/>
      <c r="C109" s="534"/>
      <c r="D109" s="589"/>
      <c r="E109" s="583"/>
      <c r="F109" s="583"/>
    </row>
    <row r="112" spans="1:6" ht="12.75">
      <c r="A112" s="1478" t="s">
        <v>508</v>
      </c>
      <c r="B112" s="1478"/>
      <c r="C112" s="1478"/>
      <c r="D112" s="1478"/>
      <c r="E112" s="1478"/>
      <c r="F112" s="1478"/>
    </row>
    <row r="113" spans="1:6" ht="12.75">
      <c r="A113" s="236" t="s">
        <v>499</v>
      </c>
      <c r="B113" s="236" t="s">
        <v>500</v>
      </c>
      <c r="C113" s="7"/>
      <c r="D113" s="521" t="s">
        <v>497</v>
      </c>
      <c r="E113" s="521" t="s">
        <v>498</v>
      </c>
      <c r="F113" s="515" t="s">
        <v>1264</v>
      </c>
    </row>
    <row r="114" spans="1:6" ht="12.75">
      <c r="A114" s="581"/>
      <c r="B114" s="529"/>
      <c r="C114" s="531"/>
      <c r="D114" s="519"/>
      <c r="E114" s="582"/>
      <c r="F114" s="582"/>
    </row>
    <row r="115" spans="1:6" ht="12.75">
      <c r="A115" s="535"/>
      <c r="B115" s="532"/>
      <c r="C115" s="534"/>
      <c r="D115" s="589"/>
      <c r="E115" s="583"/>
      <c r="F115" s="583"/>
    </row>
    <row r="116" spans="1:6" ht="12.75">
      <c r="A116" s="535"/>
      <c r="B116" s="532"/>
      <c r="C116" s="534"/>
      <c r="D116" s="589"/>
      <c r="E116" s="583"/>
      <c r="F116" s="583"/>
    </row>
    <row r="117" spans="1:6" ht="12.75">
      <c r="A117" s="535"/>
      <c r="B117" s="532"/>
      <c r="C117" s="534"/>
      <c r="D117" s="589"/>
      <c r="E117" s="583"/>
      <c r="F117" s="583"/>
    </row>
    <row r="118" spans="1:6" ht="12.75">
      <c r="A118" s="535"/>
      <c r="B118" s="532"/>
      <c r="C118" s="534"/>
      <c r="D118" s="589"/>
      <c r="E118" s="583"/>
      <c r="F118" s="583"/>
    </row>
    <row r="119" spans="1:6" ht="12.75">
      <c r="A119" s="535"/>
      <c r="B119" s="532"/>
      <c r="C119" s="534"/>
      <c r="D119" s="589"/>
      <c r="E119" s="583"/>
      <c r="F119" s="583"/>
    </row>
    <row r="120" spans="1:6" ht="12.75">
      <c r="A120" s="535"/>
      <c r="B120" s="532"/>
      <c r="C120" s="534"/>
      <c r="D120" s="589"/>
      <c r="E120" s="583"/>
      <c r="F120" s="583"/>
    </row>
    <row r="121" spans="1:6" ht="12.75">
      <c r="A121" s="535"/>
      <c r="B121" s="532"/>
      <c r="C121" s="534"/>
      <c r="D121" s="589"/>
      <c r="E121" s="583"/>
      <c r="F121" s="583"/>
    </row>
    <row r="122" spans="1:6" ht="12.75">
      <c r="A122" s="535"/>
      <c r="B122" s="532"/>
      <c r="C122" s="534"/>
      <c r="D122" s="589"/>
      <c r="E122" s="583"/>
      <c r="F122" s="583"/>
    </row>
    <row r="123" spans="1:6" ht="12.75">
      <c r="A123" s="535"/>
      <c r="B123" s="532"/>
      <c r="C123" s="534"/>
      <c r="D123" s="589"/>
      <c r="E123" s="583"/>
      <c r="F123" s="583"/>
    </row>
    <row r="124" spans="1:6" ht="12.75">
      <c r="A124" s="535"/>
      <c r="B124" s="532"/>
      <c r="C124" s="534"/>
      <c r="D124" s="589"/>
      <c r="E124" s="583"/>
      <c r="F124" s="583"/>
    </row>
    <row r="125" spans="1:6" ht="12.75">
      <c r="A125" s="535"/>
      <c r="B125" s="532"/>
      <c r="C125" s="534"/>
      <c r="D125" s="589"/>
      <c r="E125" s="583"/>
      <c r="F125" s="583"/>
    </row>
    <row r="126" spans="1:6" ht="12.75">
      <c r="A126" s="535"/>
      <c r="B126" s="532"/>
      <c r="C126" s="534"/>
      <c r="D126" s="589"/>
      <c r="E126" s="583"/>
      <c r="F126" s="583"/>
    </row>
    <row r="127" spans="1:6" ht="12.75">
      <c r="A127" s="535"/>
      <c r="B127" s="532"/>
      <c r="C127" s="534"/>
      <c r="D127" s="589"/>
      <c r="E127" s="583"/>
      <c r="F127" s="583"/>
    </row>
    <row r="128" spans="1:6" ht="12.75">
      <c r="A128" s="535"/>
      <c r="B128" s="532"/>
      <c r="C128" s="534"/>
      <c r="D128" s="589"/>
      <c r="E128" s="583"/>
      <c r="F128" s="583"/>
    </row>
    <row r="129" spans="1:6" ht="12.75">
      <c r="A129" s="535"/>
      <c r="B129" s="532"/>
      <c r="C129" s="534"/>
      <c r="D129" s="589"/>
      <c r="E129" s="583"/>
      <c r="F129" s="583"/>
    </row>
    <row r="130" spans="1:6" ht="12.75">
      <c r="A130" s="535"/>
      <c r="B130" s="532"/>
      <c r="C130" s="534"/>
      <c r="D130" s="589"/>
      <c r="E130" s="583"/>
      <c r="F130" s="583"/>
    </row>
    <row r="131" spans="1:6" ht="12.75">
      <c r="A131" s="535"/>
      <c r="B131" s="532"/>
      <c r="C131" s="534"/>
      <c r="D131" s="589"/>
      <c r="E131" s="583"/>
      <c r="F131" s="583"/>
    </row>
    <row r="132" spans="1:6" ht="12.75">
      <c r="A132" s="535"/>
      <c r="B132" s="532"/>
      <c r="C132" s="534"/>
      <c r="D132" s="589"/>
      <c r="E132" s="583"/>
      <c r="F132" s="583"/>
    </row>
    <row r="133" spans="1:6" ht="12.75">
      <c r="A133" s="535"/>
      <c r="B133" s="532"/>
      <c r="C133" s="534"/>
      <c r="D133" s="589"/>
      <c r="E133" s="583"/>
      <c r="F133" s="583"/>
    </row>
    <row r="134" spans="1:6" ht="12.75">
      <c r="A134" s="535"/>
      <c r="B134" s="532"/>
      <c r="C134" s="534"/>
      <c r="D134" s="589"/>
      <c r="E134" s="583"/>
      <c r="F134" s="583"/>
    </row>
    <row r="135" spans="1:6" ht="12.75">
      <c r="A135" s="535"/>
      <c r="B135" s="532"/>
      <c r="C135" s="534"/>
      <c r="D135" s="589"/>
      <c r="E135" s="583"/>
      <c r="F135" s="583"/>
    </row>
    <row r="136" spans="1:6" ht="12.75">
      <c r="A136" s="535"/>
      <c r="B136" s="532"/>
      <c r="C136" s="534"/>
      <c r="D136" s="589"/>
      <c r="E136" s="583"/>
      <c r="F136" s="583"/>
    </row>
    <row r="137" spans="1:6" ht="12.75">
      <c r="A137" s="535"/>
      <c r="B137" s="532"/>
      <c r="C137" s="534"/>
      <c r="D137" s="589"/>
      <c r="E137" s="583"/>
      <c r="F137" s="583"/>
    </row>
    <row r="138" spans="1:6" ht="12.75">
      <c r="A138" s="535"/>
      <c r="B138" s="532"/>
      <c r="C138" s="534"/>
      <c r="D138" s="589"/>
      <c r="E138" s="583"/>
      <c r="F138" s="583"/>
    </row>
    <row r="139" spans="1:6" ht="12.75">
      <c r="A139" s="535"/>
      <c r="B139" s="532"/>
      <c r="C139" s="534"/>
      <c r="D139" s="589"/>
      <c r="E139" s="583"/>
      <c r="F139" s="583"/>
    </row>
    <row r="140" spans="1:6" ht="12.75">
      <c r="A140" s="535"/>
      <c r="B140" s="532"/>
      <c r="C140" s="534"/>
      <c r="D140" s="589"/>
      <c r="E140" s="583"/>
      <c r="F140" s="583"/>
    </row>
    <row r="141" spans="1:6" ht="12.75">
      <c r="A141" s="535"/>
      <c r="B141" s="532"/>
      <c r="C141" s="534"/>
      <c r="D141" s="589"/>
      <c r="E141" s="583"/>
      <c r="F141" s="583"/>
    </row>
    <row r="142" spans="1:6" ht="12.75">
      <c r="A142" s="535"/>
      <c r="B142" s="532"/>
      <c r="C142" s="534"/>
      <c r="D142" s="589"/>
      <c r="E142" s="583"/>
      <c r="F142" s="583"/>
    </row>
    <row r="143" spans="1:6" ht="12.75">
      <c r="A143" s="535"/>
      <c r="B143" s="532"/>
      <c r="C143" s="534"/>
      <c r="D143" s="589"/>
      <c r="E143" s="583"/>
      <c r="F143" s="583"/>
    </row>
    <row r="144" spans="1:6" ht="12.75">
      <c r="A144" s="535"/>
      <c r="B144" s="532"/>
      <c r="C144" s="534"/>
      <c r="D144" s="589"/>
      <c r="E144" s="583"/>
      <c r="F144" s="583"/>
    </row>
    <row r="145" spans="1:6" ht="12.75">
      <c r="A145" s="535"/>
      <c r="B145" s="532"/>
      <c r="C145" s="534"/>
      <c r="D145" s="589"/>
      <c r="E145" s="583"/>
      <c r="F145" s="583"/>
    </row>
    <row r="146" spans="1:6" ht="12.75">
      <c r="A146" s="535"/>
      <c r="B146" s="532"/>
      <c r="C146" s="534"/>
      <c r="D146" s="589"/>
      <c r="E146" s="583"/>
      <c r="F146" s="583"/>
    </row>
    <row r="147" spans="1:6" ht="12.75">
      <c r="A147" s="535"/>
      <c r="B147" s="532"/>
      <c r="C147" s="534"/>
      <c r="D147" s="589"/>
      <c r="E147" s="583"/>
      <c r="F147" s="583"/>
    </row>
    <row r="148" spans="1:6" ht="12.75">
      <c r="A148" s="535"/>
      <c r="B148" s="532"/>
      <c r="C148" s="534"/>
      <c r="D148" s="589"/>
      <c r="E148" s="583"/>
      <c r="F148" s="583"/>
    </row>
    <row r="149" spans="1:6" ht="12.75">
      <c r="A149" s="535"/>
      <c r="B149" s="532"/>
      <c r="C149" s="534"/>
      <c r="D149" s="589"/>
      <c r="E149" s="583"/>
      <c r="F149" s="583"/>
    </row>
    <row r="150" spans="1:6" ht="12.75">
      <c r="A150" s="535"/>
      <c r="B150" s="532"/>
      <c r="C150" s="534"/>
      <c r="D150" s="589"/>
      <c r="E150" s="583"/>
      <c r="F150" s="583"/>
    </row>
    <row r="151" spans="1:6" ht="12.75">
      <c r="A151" s="535"/>
      <c r="B151" s="532"/>
      <c r="C151" s="534"/>
      <c r="D151" s="589"/>
      <c r="E151" s="583"/>
      <c r="F151" s="583"/>
    </row>
    <row r="152" spans="1:6" ht="12.75">
      <c r="A152" s="535"/>
      <c r="B152" s="532"/>
      <c r="C152" s="534"/>
      <c r="D152" s="589"/>
      <c r="E152" s="583"/>
      <c r="F152" s="583"/>
    </row>
    <row r="153" spans="1:6" ht="12.75">
      <c r="A153" s="535"/>
      <c r="B153" s="532"/>
      <c r="C153" s="534"/>
      <c r="D153" s="589"/>
      <c r="E153" s="583"/>
      <c r="F153" s="583"/>
    </row>
    <row r="154" spans="1:6" ht="12.75">
      <c r="A154" s="535"/>
      <c r="B154" s="532"/>
      <c r="C154" s="534"/>
      <c r="D154" s="589"/>
      <c r="E154" s="583"/>
      <c r="F154" s="583"/>
    </row>
    <row r="155" spans="1:6" ht="12.75">
      <c r="A155" s="535"/>
      <c r="B155" s="532"/>
      <c r="C155" s="534"/>
      <c r="D155" s="589"/>
      <c r="E155" s="583"/>
      <c r="F155" s="583"/>
    </row>
    <row r="156" spans="1:6" ht="12.75">
      <c r="A156" s="535"/>
      <c r="B156" s="532"/>
      <c r="C156" s="534"/>
      <c r="D156" s="589"/>
      <c r="E156" s="583"/>
      <c r="F156" s="583"/>
    </row>
    <row r="157" spans="1:6" ht="12.75">
      <c r="A157" s="535"/>
      <c r="B157" s="532"/>
      <c r="C157" s="534"/>
      <c r="D157" s="589"/>
      <c r="E157" s="583"/>
      <c r="F157" s="583"/>
    </row>
    <row r="158" spans="1:6" ht="12.75">
      <c r="A158" s="535"/>
      <c r="B158" s="532"/>
      <c r="C158" s="534"/>
      <c r="D158" s="589"/>
      <c r="E158" s="583"/>
      <c r="F158" s="583"/>
    </row>
    <row r="159" spans="1:6" ht="12.75">
      <c r="A159" s="535"/>
      <c r="B159" s="532"/>
      <c r="C159" s="534"/>
      <c r="D159" s="589"/>
      <c r="E159" s="583"/>
      <c r="F159" s="583"/>
    </row>
    <row r="160" spans="1:6" ht="12.75">
      <c r="A160" s="535"/>
      <c r="B160" s="532"/>
      <c r="C160" s="534"/>
      <c r="D160" s="589"/>
      <c r="E160" s="583"/>
      <c r="F160" s="583"/>
    </row>
    <row r="161" spans="1:6" ht="12.75">
      <c r="A161" s="535"/>
      <c r="B161" s="532"/>
      <c r="C161" s="534"/>
      <c r="D161" s="589"/>
      <c r="E161" s="583"/>
      <c r="F161" s="583"/>
    </row>
    <row r="162" spans="1:6" ht="12.75">
      <c r="A162" s="535"/>
      <c r="B162" s="532"/>
      <c r="C162" s="534"/>
      <c r="D162" s="589"/>
      <c r="E162" s="583"/>
      <c r="F162" s="583"/>
    </row>
    <row r="163" spans="1:6" ht="12.75">
      <c r="A163" s="535"/>
      <c r="B163" s="532"/>
      <c r="C163" s="534"/>
      <c r="D163" s="589"/>
      <c r="E163" s="583"/>
      <c r="F163" s="583"/>
    </row>
    <row r="164" spans="1:6" ht="12.75">
      <c r="A164" s="535"/>
      <c r="B164" s="532"/>
      <c r="C164" s="534"/>
      <c r="D164" s="589"/>
      <c r="E164" s="583"/>
      <c r="F164" s="583"/>
    </row>
    <row r="167" spans="1:18" ht="12.75">
      <c r="A167" s="1479" t="s">
        <v>509</v>
      </c>
      <c r="B167" s="1478"/>
      <c r="C167" s="1478"/>
      <c r="D167" s="1478"/>
      <c r="E167" s="1478"/>
      <c r="F167" s="1480"/>
      <c r="H167" s="1479" t="s">
        <v>512</v>
      </c>
      <c r="I167" s="1478"/>
      <c r="J167" s="1478"/>
      <c r="K167" s="1478"/>
      <c r="L167" s="1478"/>
      <c r="M167" s="1478"/>
      <c r="N167" s="1478"/>
      <c r="O167" s="1478"/>
      <c r="P167" s="1478"/>
      <c r="Q167" s="1478"/>
      <c r="R167" s="1480"/>
    </row>
    <row r="168" spans="1:6" ht="12.75">
      <c r="A168" s="243" t="s">
        <v>499</v>
      </c>
      <c r="B168" s="236" t="s">
        <v>500</v>
      </c>
      <c r="C168" s="7"/>
      <c r="D168" s="521" t="s">
        <v>497</v>
      </c>
      <c r="E168" s="521" t="s">
        <v>498</v>
      </c>
      <c r="F168" s="522"/>
    </row>
    <row r="169" spans="1:6" ht="12.75">
      <c r="A169" s="581"/>
      <c r="B169" s="529"/>
      <c r="C169" s="531"/>
      <c r="D169" s="519"/>
      <c r="E169" s="582"/>
      <c r="F169" s="582"/>
    </row>
    <row r="170" spans="1:6" ht="12.75">
      <c r="A170" s="535"/>
      <c r="B170" s="532"/>
      <c r="C170" s="534"/>
      <c r="D170" s="589"/>
      <c r="E170" s="583"/>
      <c r="F170" s="583"/>
    </row>
    <row r="171" spans="1:6" ht="12.75">
      <c r="A171" s="535"/>
      <c r="B171" s="532"/>
      <c r="C171" s="534"/>
      <c r="D171" s="589"/>
      <c r="E171" s="583"/>
      <c r="F171" s="583"/>
    </row>
    <row r="172" spans="1:6" ht="12.75">
      <c r="A172" s="535"/>
      <c r="B172" s="532"/>
      <c r="C172" s="534"/>
      <c r="D172" s="589"/>
      <c r="E172" s="583"/>
      <c r="F172" s="583"/>
    </row>
    <row r="173" spans="1:6" ht="12.75">
      <c r="A173" s="535"/>
      <c r="B173" s="532"/>
      <c r="C173" s="534"/>
      <c r="D173" s="589"/>
      <c r="E173" s="583"/>
      <c r="F173" s="583"/>
    </row>
    <row r="174" spans="1:6" ht="12.75">
      <c r="A174" s="535"/>
      <c r="B174" s="532"/>
      <c r="C174" s="534"/>
      <c r="D174" s="589"/>
      <c r="E174" s="583"/>
      <c r="F174" s="583"/>
    </row>
    <row r="175" spans="1:6" ht="12.75">
      <c r="A175" s="535"/>
      <c r="B175" s="532"/>
      <c r="C175" s="534"/>
      <c r="D175" s="589"/>
      <c r="E175" s="583"/>
      <c r="F175" s="583"/>
    </row>
    <row r="176" spans="1:6" ht="12.75">
      <c r="A176" s="535"/>
      <c r="B176" s="532"/>
      <c r="C176" s="534"/>
      <c r="D176" s="589"/>
      <c r="E176" s="583"/>
      <c r="F176" s="583"/>
    </row>
    <row r="177" spans="1:6" ht="12.75">
      <c r="A177" s="535"/>
      <c r="B177" s="532"/>
      <c r="C177" s="534"/>
      <c r="D177" s="589"/>
      <c r="E177" s="583"/>
      <c r="F177" s="583"/>
    </row>
    <row r="178" spans="1:6" ht="12.75">
      <c r="A178" s="535"/>
      <c r="B178" s="532"/>
      <c r="C178" s="534"/>
      <c r="D178" s="589"/>
      <c r="E178" s="583"/>
      <c r="F178" s="583"/>
    </row>
    <row r="179" spans="1:6" ht="12.75">
      <c r="A179" s="535"/>
      <c r="B179" s="532"/>
      <c r="C179" s="534"/>
      <c r="D179" s="589"/>
      <c r="E179" s="583"/>
      <c r="F179" s="583"/>
    </row>
    <row r="180" spans="1:6" ht="12.75">
      <c r="A180" s="535"/>
      <c r="B180" s="532"/>
      <c r="C180" s="534"/>
      <c r="D180" s="589"/>
      <c r="E180" s="583"/>
      <c r="F180" s="583"/>
    </row>
    <row r="181" spans="1:6" ht="12.75">
      <c r="A181" s="535"/>
      <c r="B181" s="532"/>
      <c r="C181" s="534"/>
      <c r="D181" s="589"/>
      <c r="E181" s="583"/>
      <c r="F181" s="583"/>
    </row>
    <row r="182" spans="1:6" ht="12.75">
      <c r="A182" s="535"/>
      <c r="B182" s="532"/>
      <c r="C182" s="534"/>
      <c r="D182" s="589"/>
      <c r="E182" s="583"/>
      <c r="F182" s="583"/>
    </row>
    <row r="183" spans="1:6" ht="12.75">
      <c r="A183" s="535"/>
      <c r="B183" s="532"/>
      <c r="C183" s="534"/>
      <c r="D183" s="589"/>
      <c r="E183" s="583"/>
      <c r="F183" s="583"/>
    </row>
    <row r="184" spans="1:6" ht="12.75">
      <c r="A184" s="535"/>
      <c r="B184" s="532"/>
      <c r="C184" s="534"/>
      <c r="D184" s="589"/>
      <c r="E184" s="583"/>
      <c r="F184" s="583"/>
    </row>
    <row r="185" spans="1:6" ht="12.75">
      <c r="A185" s="535"/>
      <c r="B185" s="532"/>
      <c r="C185" s="534"/>
      <c r="D185" s="589"/>
      <c r="E185" s="583"/>
      <c r="F185" s="583"/>
    </row>
    <row r="186" spans="1:6" ht="12.75">
      <c r="A186" s="535"/>
      <c r="B186" s="532"/>
      <c r="C186" s="534"/>
      <c r="D186" s="589"/>
      <c r="E186" s="583"/>
      <c r="F186" s="583"/>
    </row>
    <row r="187" spans="1:6" ht="12.75">
      <c r="A187" s="535"/>
      <c r="B187" s="532"/>
      <c r="C187" s="534"/>
      <c r="D187" s="589"/>
      <c r="E187" s="583"/>
      <c r="F187" s="583"/>
    </row>
    <row r="188" spans="1:6" ht="12.75">
      <c r="A188" s="535"/>
      <c r="B188" s="532"/>
      <c r="C188" s="534"/>
      <c r="D188" s="589"/>
      <c r="E188" s="583"/>
      <c r="F188" s="583"/>
    </row>
    <row r="189" spans="1:6" ht="12.75">
      <c r="A189" s="535"/>
      <c r="B189" s="532"/>
      <c r="C189" s="534"/>
      <c r="D189" s="589"/>
      <c r="E189" s="583"/>
      <c r="F189" s="583"/>
    </row>
    <row r="190" spans="1:6" ht="12.75">
      <c r="A190" s="535"/>
      <c r="B190" s="532"/>
      <c r="C190" s="534"/>
      <c r="D190" s="589"/>
      <c r="E190" s="583"/>
      <c r="F190" s="583"/>
    </row>
    <row r="191" spans="1:6" ht="12.75">
      <c r="A191" s="535"/>
      <c r="B191" s="532"/>
      <c r="C191" s="534"/>
      <c r="D191" s="589"/>
      <c r="E191" s="583"/>
      <c r="F191" s="583"/>
    </row>
    <row r="192" spans="1:6" ht="12.75">
      <c r="A192" s="535"/>
      <c r="B192" s="532"/>
      <c r="C192" s="534"/>
      <c r="D192" s="589"/>
      <c r="E192" s="583"/>
      <c r="F192" s="583"/>
    </row>
    <row r="193" spans="1:6" ht="12.75">
      <c r="A193" s="535"/>
      <c r="B193" s="532"/>
      <c r="C193" s="534"/>
      <c r="D193" s="589"/>
      <c r="E193" s="583"/>
      <c r="F193" s="583"/>
    </row>
    <row r="194" spans="1:6" ht="12.75">
      <c r="A194" s="535"/>
      <c r="B194" s="532"/>
      <c r="C194" s="534"/>
      <c r="D194" s="589"/>
      <c r="E194" s="583"/>
      <c r="F194" s="583"/>
    </row>
    <row r="195" spans="1:6" ht="12.75">
      <c r="A195" s="535"/>
      <c r="B195" s="532"/>
      <c r="C195" s="534"/>
      <c r="D195" s="589"/>
      <c r="E195" s="583"/>
      <c r="F195" s="583"/>
    </row>
    <row r="196" spans="1:6" ht="12.75">
      <c r="A196" s="535"/>
      <c r="B196" s="532"/>
      <c r="C196" s="534"/>
      <c r="D196" s="589"/>
      <c r="E196" s="583"/>
      <c r="F196" s="583"/>
    </row>
    <row r="197" spans="1:6" ht="12.75">
      <c r="A197" s="535"/>
      <c r="B197" s="532"/>
      <c r="C197" s="534"/>
      <c r="D197" s="589"/>
      <c r="E197" s="583"/>
      <c r="F197" s="583"/>
    </row>
    <row r="198" spans="1:6" ht="12.75">
      <c r="A198" s="535"/>
      <c r="B198" s="532"/>
      <c r="C198" s="534"/>
      <c r="D198" s="589"/>
      <c r="E198" s="583"/>
      <c r="F198" s="583"/>
    </row>
    <row r="199" spans="1:6" ht="12.75">
      <c r="A199" s="535"/>
      <c r="B199" s="532"/>
      <c r="C199" s="534"/>
      <c r="D199" s="589"/>
      <c r="E199" s="583"/>
      <c r="F199" s="583"/>
    </row>
    <row r="200" spans="1:6" ht="12.75">
      <c r="A200" s="535"/>
      <c r="B200" s="532"/>
      <c r="C200" s="534"/>
      <c r="D200" s="589"/>
      <c r="E200" s="583"/>
      <c r="F200" s="583"/>
    </row>
    <row r="201" spans="1:6" ht="12.75">
      <c r="A201" s="535"/>
      <c r="B201" s="532"/>
      <c r="C201" s="534"/>
      <c r="D201" s="589"/>
      <c r="E201" s="583"/>
      <c r="F201" s="583"/>
    </row>
    <row r="202" spans="1:6" ht="12.75">
      <c r="A202" s="535"/>
      <c r="B202" s="532"/>
      <c r="C202" s="534"/>
      <c r="D202" s="589"/>
      <c r="E202" s="583"/>
      <c r="F202" s="583"/>
    </row>
    <row r="203" spans="1:6" ht="12.75">
      <c r="A203" s="535"/>
      <c r="B203" s="532"/>
      <c r="C203" s="534"/>
      <c r="D203" s="589"/>
      <c r="E203" s="583"/>
      <c r="F203" s="583"/>
    </row>
    <row r="204" spans="1:6" ht="12.75">
      <c r="A204" s="535"/>
      <c r="B204" s="532"/>
      <c r="C204" s="534"/>
      <c r="D204" s="589"/>
      <c r="E204" s="583"/>
      <c r="F204" s="583"/>
    </row>
    <row r="205" spans="1:6" ht="12.75">
      <c r="A205" s="535"/>
      <c r="B205" s="532"/>
      <c r="C205" s="534"/>
      <c r="D205" s="589"/>
      <c r="E205" s="583"/>
      <c r="F205" s="583"/>
    </row>
    <row r="206" spans="1:6" ht="12.75">
      <c r="A206" s="535"/>
      <c r="B206" s="532"/>
      <c r="C206" s="534"/>
      <c r="D206" s="589"/>
      <c r="E206" s="583"/>
      <c r="F206" s="583"/>
    </row>
    <row r="207" spans="1:6" ht="12.75">
      <c r="A207" s="535"/>
      <c r="B207" s="532"/>
      <c r="C207" s="534"/>
      <c r="D207" s="589"/>
      <c r="E207" s="583"/>
      <c r="F207" s="583"/>
    </row>
    <row r="208" spans="1:6" ht="12.75">
      <c r="A208" s="535"/>
      <c r="B208" s="532"/>
      <c r="C208" s="534"/>
      <c r="D208" s="589"/>
      <c r="E208" s="583"/>
      <c r="F208" s="583"/>
    </row>
    <row r="209" spans="1:6" ht="12.75">
      <c r="A209" s="535"/>
      <c r="B209" s="532"/>
      <c r="C209" s="534"/>
      <c r="D209" s="589"/>
      <c r="E209" s="583"/>
      <c r="F209" s="583"/>
    </row>
    <row r="210" spans="1:6" ht="12.75">
      <c r="A210" s="535"/>
      <c r="B210" s="532"/>
      <c r="C210" s="534"/>
      <c r="D210" s="589"/>
      <c r="E210" s="583"/>
      <c r="F210" s="583"/>
    </row>
    <row r="211" spans="1:6" ht="12.75">
      <c r="A211" s="535"/>
      <c r="B211" s="532"/>
      <c r="C211" s="534"/>
      <c r="D211" s="589"/>
      <c r="E211" s="583"/>
      <c r="F211" s="583"/>
    </row>
    <row r="212" spans="1:6" ht="12.75">
      <c r="A212" s="535"/>
      <c r="B212" s="532"/>
      <c r="C212" s="534"/>
      <c r="D212" s="589"/>
      <c r="E212" s="583"/>
      <c r="F212" s="583"/>
    </row>
    <row r="213" spans="1:6" ht="12.75">
      <c r="A213" s="535"/>
      <c r="B213" s="532"/>
      <c r="C213" s="534"/>
      <c r="D213" s="589"/>
      <c r="E213" s="583"/>
      <c r="F213" s="583"/>
    </row>
    <row r="214" spans="1:6" ht="12.75">
      <c r="A214" s="535"/>
      <c r="B214" s="532"/>
      <c r="C214" s="534"/>
      <c r="D214" s="589"/>
      <c r="E214" s="583"/>
      <c r="F214" s="583"/>
    </row>
    <row r="215" spans="1:6" ht="12.75">
      <c r="A215" s="535"/>
      <c r="B215" s="532"/>
      <c r="C215" s="534"/>
      <c r="D215" s="589"/>
      <c r="E215" s="583"/>
      <c r="F215" s="583"/>
    </row>
    <row r="216" spans="1:6" ht="12.75">
      <c r="A216" s="535"/>
      <c r="B216" s="532"/>
      <c r="C216" s="534"/>
      <c r="D216" s="589"/>
      <c r="E216" s="583"/>
      <c r="F216" s="583"/>
    </row>
    <row r="217" spans="1:6" ht="12.75">
      <c r="A217" s="535"/>
      <c r="B217" s="532"/>
      <c r="C217" s="534"/>
      <c r="D217" s="589"/>
      <c r="E217" s="583"/>
      <c r="F217" s="583"/>
    </row>
    <row r="218" spans="1:6" ht="12.75">
      <c r="A218" s="535"/>
      <c r="B218" s="532"/>
      <c r="C218" s="534"/>
      <c r="D218" s="589"/>
      <c r="E218" s="583"/>
      <c r="F218" s="583"/>
    </row>
    <row r="219" spans="1:6" ht="12.75">
      <c r="A219" s="537"/>
      <c r="B219" s="591"/>
      <c r="C219" s="593"/>
      <c r="D219" s="594"/>
      <c r="E219" s="592"/>
      <c r="F219" s="592"/>
    </row>
  </sheetData>
  <sheetProtection/>
  <mergeCells count="7">
    <mergeCell ref="H167:R167"/>
    <mergeCell ref="A1:G1"/>
    <mergeCell ref="A112:F112"/>
    <mergeCell ref="A167:F167"/>
    <mergeCell ref="A5:F5"/>
    <mergeCell ref="A56:F56"/>
    <mergeCell ref="A3:F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Feuil29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euil31"/>
  <dimension ref="A1:V26"/>
  <sheetViews>
    <sheetView zoomScalePageLayoutView="0" workbookViewId="0" topLeftCell="A1">
      <selection activeCell="A1" sqref="A1:U1"/>
    </sheetView>
  </sheetViews>
  <sheetFormatPr defaultColWidth="11.421875" defaultRowHeight="12.75"/>
  <cols>
    <col min="1" max="1" width="6.140625" style="0" customWidth="1"/>
    <col min="2" max="2" width="4.8515625" style="0" customWidth="1"/>
    <col min="3" max="4" width="6.28125" style="0" customWidth="1"/>
    <col min="5" max="13" width="3.7109375" style="0" customWidth="1"/>
    <col min="14" max="14" width="6.28125" style="0" customWidth="1"/>
    <col min="15" max="15" width="3.140625" style="0" customWidth="1"/>
    <col min="16" max="16" width="5.7109375" style="0" customWidth="1"/>
    <col min="17" max="17" width="4.00390625" style="0" customWidth="1"/>
    <col min="18" max="18" width="4.8515625" style="0" customWidth="1"/>
    <col min="19" max="19" width="4.57421875" style="0" customWidth="1"/>
    <col min="20" max="20" width="7.140625" style="0" customWidth="1"/>
    <col min="21" max="21" width="5.00390625" style="0" customWidth="1"/>
  </cols>
  <sheetData>
    <row r="1" spans="1:21" ht="12.75">
      <c r="A1" s="2083" t="s">
        <v>853</v>
      </c>
      <c r="B1" s="2083"/>
      <c r="C1" s="2083"/>
      <c r="D1" s="2083"/>
      <c r="E1" s="2083"/>
      <c r="F1" s="2083"/>
      <c r="G1" s="2083"/>
      <c r="H1" s="2083"/>
      <c r="I1" s="2083"/>
      <c r="J1" s="2083"/>
      <c r="K1" s="2083"/>
      <c r="L1" s="2083"/>
      <c r="M1" s="2083"/>
      <c r="N1" s="2083"/>
      <c r="O1" s="2083"/>
      <c r="P1" s="2083"/>
      <c r="Q1" s="2083"/>
      <c r="R1" s="2083"/>
      <c r="S1" s="2083"/>
      <c r="T1" s="2083"/>
      <c r="U1" s="2083"/>
    </row>
    <row r="2" spans="1:22" ht="12.75">
      <c r="A2" s="2084" t="s">
        <v>835</v>
      </c>
      <c r="B2" s="2036"/>
      <c r="C2" s="2085"/>
      <c r="D2" s="582" t="s">
        <v>839</v>
      </c>
      <c r="E2" s="1479" t="s">
        <v>831</v>
      </c>
      <c r="F2" s="1478"/>
      <c r="G2" s="1480"/>
      <c r="H2" s="1479" t="s">
        <v>833</v>
      </c>
      <c r="I2" s="1478"/>
      <c r="J2" s="1480"/>
      <c r="K2" s="2084" t="s">
        <v>834</v>
      </c>
      <c r="L2" s="2036"/>
      <c r="M2" s="2036"/>
      <c r="N2" s="1479" t="s">
        <v>100</v>
      </c>
      <c r="O2" s="1478"/>
      <c r="P2" s="1480"/>
      <c r="Q2" s="7"/>
      <c r="R2" s="7"/>
      <c r="S2" s="211"/>
      <c r="T2" s="7"/>
      <c r="U2" s="211"/>
      <c r="V2" s="167"/>
    </row>
    <row r="3" spans="1:22" ht="12.75">
      <c r="A3" s="941" t="s">
        <v>319</v>
      </c>
      <c r="B3" s="942" t="s">
        <v>836</v>
      </c>
      <c r="C3" s="943" t="s">
        <v>837</v>
      </c>
      <c r="D3" s="939" t="s">
        <v>840</v>
      </c>
      <c r="E3" s="168" t="s">
        <v>832</v>
      </c>
      <c r="F3" s="161"/>
      <c r="G3" s="170" t="s">
        <v>838</v>
      </c>
      <c r="H3" s="168" t="s">
        <v>832</v>
      </c>
      <c r="I3" s="161"/>
      <c r="J3" s="161" t="s">
        <v>838</v>
      </c>
      <c r="K3" s="243" t="s">
        <v>832</v>
      </c>
      <c r="L3" s="236"/>
      <c r="M3" s="236" t="s">
        <v>838</v>
      </c>
      <c r="N3" s="168"/>
      <c r="O3" s="161"/>
      <c r="P3" s="170"/>
      <c r="Q3" s="161"/>
      <c r="R3" s="161"/>
      <c r="S3" s="170"/>
      <c r="T3" s="161" t="s">
        <v>841</v>
      </c>
      <c r="U3" s="170"/>
      <c r="V3" s="167"/>
    </row>
    <row r="4" spans="1:22" ht="12.75">
      <c r="A4" s="935">
        <v>11</v>
      </c>
      <c r="B4" s="936">
        <v>6</v>
      </c>
      <c r="C4" s="937">
        <v>2007</v>
      </c>
      <c r="D4" s="940" t="s">
        <v>839</v>
      </c>
      <c r="E4" s="441">
        <v>24</v>
      </c>
      <c r="F4" s="444" t="s">
        <v>832</v>
      </c>
      <c r="G4" s="946"/>
      <c r="H4" s="166"/>
      <c r="I4" s="167"/>
      <c r="J4" s="167"/>
      <c r="K4" s="944">
        <v>4</v>
      </c>
      <c r="L4" s="945" t="s">
        <v>832</v>
      </c>
      <c r="M4" s="945"/>
      <c r="N4" s="166">
        <f>U4</f>
        <v>4</v>
      </c>
      <c r="O4" s="167" t="s">
        <v>832</v>
      </c>
      <c r="P4" s="169"/>
      <c r="Q4" s="167">
        <v>24</v>
      </c>
      <c r="R4" s="167">
        <f>IF(D4="nuit",1,IF(D4="jours",2,IF(D4=0,0)))</f>
        <v>1</v>
      </c>
      <c r="S4" s="169">
        <f aca="true" t="shared" si="0" ref="S4:S23">IF(R4=0," ",IF(R4=1,(Q4-E4)+K4,IF(R4=2,K4-E4)))</f>
        <v>4</v>
      </c>
      <c r="T4" s="204" t="str">
        <f>IF(H4=0," ",H4)</f>
        <v> </v>
      </c>
      <c r="U4" s="211">
        <f>IF(T4=" ",S4,S4-T4)</f>
        <v>4</v>
      </c>
      <c r="V4" s="167"/>
    </row>
    <row r="5" spans="1:22" ht="12.75">
      <c r="A5" s="935">
        <f>A4+1</f>
        <v>12</v>
      </c>
      <c r="B5" s="936">
        <f>B4</f>
        <v>6</v>
      </c>
      <c r="C5" s="937">
        <f>C4</f>
        <v>2007</v>
      </c>
      <c r="D5" s="583" t="s">
        <v>839</v>
      </c>
      <c r="E5" s="441">
        <v>23</v>
      </c>
      <c r="F5" s="444" t="s">
        <v>832</v>
      </c>
      <c r="G5" s="946"/>
      <c r="H5" s="166"/>
      <c r="I5" s="167"/>
      <c r="J5" s="167"/>
      <c r="K5" s="944">
        <v>6</v>
      </c>
      <c r="L5" s="945" t="s">
        <v>832</v>
      </c>
      <c r="M5" s="945"/>
      <c r="N5" s="166">
        <f aca="true" t="shared" si="1" ref="N5:N23">U5</f>
        <v>7</v>
      </c>
      <c r="O5" s="167" t="str">
        <f>O4</f>
        <v>h</v>
      </c>
      <c r="P5" s="169"/>
      <c r="Q5" s="167">
        <f>Q4</f>
        <v>24</v>
      </c>
      <c r="R5" s="167">
        <f aca="true" t="shared" si="2" ref="R5:R23">IF(D5="nuit",1,IF(D5="jours",2,IF(D5=0,0)))</f>
        <v>1</v>
      </c>
      <c r="S5" s="169">
        <f t="shared" si="0"/>
        <v>7</v>
      </c>
      <c r="T5" s="166" t="str">
        <f aca="true" t="shared" si="3" ref="T5:T23">IF(H5=0," ",H5)</f>
        <v> </v>
      </c>
      <c r="U5" s="169">
        <f aca="true" t="shared" si="4" ref="U5:U23">IF(T5=" ",S5,S5-T5)</f>
        <v>7</v>
      </c>
      <c r="V5" s="167"/>
    </row>
    <row r="6" spans="1:22" ht="12.75">
      <c r="A6" s="935">
        <f aca="true" t="shared" si="5" ref="A6:A23">A5+1</f>
        <v>13</v>
      </c>
      <c r="B6" s="936">
        <f aca="true" t="shared" si="6" ref="B6:B23">B5</f>
        <v>6</v>
      </c>
      <c r="C6" s="937">
        <f aca="true" t="shared" si="7" ref="C6:C23">C5</f>
        <v>2007</v>
      </c>
      <c r="D6" s="583" t="s">
        <v>839</v>
      </c>
      <c r="E6" s="441">
        <v>24</v>
      </c>
      <c r="F6" s="444" t="s">
        <v>832</v>
      </c>
      <c r="G6" s="946"/>
      <c r="H6" s="166"/>
      <c r="I6" s="167"/>
      <c r="J6" s="167"/>
      <c r="K6" s="944">
        <v>3</v>
      </c>
      <c r="L6" s="945" t="s">
        <v>832</v>
      </c>
      <c r="M6" s="945"/>
      <c r="N6" s="166">
        <f t="shared" si="1"/>
        <v>3</v>
      </c>
      <c r="O6" s="167" t="s">
        <v>832</v>
      </c>
      <c r="P6" s="169"/>
      <c r="Q6" s="167">
        <f aca="true" t="shared" si="8" ref="Q6:Q23">Q5</f>
        <v>24</v>
      </c>
      <c r="R6" s="167">
        <f t="shared" si="2"/>
        <v>1</v>
      </c>
      <c r="S6" s="169">
        <f t="shared" si="0"/>
        <v>3</v>
      </c>
      <c r="T6" s="166" t="str">
        <f t="shared" si="3"/>
        <v> </v>
      </c>
      <c r="U6" s="169">
        <f t="shared" si="4"/>
        <v>3</v>
      </c>
      <c r="V6" s="167"/>
    </row>
    <row r="7" spans="1:22" ht="12.75">
      <c r="A7" s="935">
        <f t="shared" si="5"/>
        <v>14</v>
      </c>
      <c r="B7" s="936">
        <f t="shared" si="6"/>
        <v>6</v>
      </c>
      <c r="C7" s="937">
        <f t="shared" si="7"/>
        <v>2007</v>
      </c>
      <c r="D7" s="940"/>
      <c r="E7" s="441"/>
      <c r="F7" s="444" t="s">
        <v>832</v>
      </c>
      <c r="G7" s="946"/>
      <c r="H7" s="166"/>
      <c r="I7" s="167"/>
      <c r="J7" s="167"/>
      <c r="K7" s="944"/>
      <c r="L7" s="945" t="s">
        <v>832</v>
      </c>
      <c r="M7" s="945"/>
      <c r="N7" s="166" t="str">
        <f t="shared" si="1"/>
        <v> </v>
      </c>
      <c r="O7" s="167" t="s">
        <v>832</v>
      </c>
      <c r="P7" s="169"/>
      <c r="Q7" s="167">
        <f t="shared" si="8"/>
        <v>24</v>
      </c>
      <c r="R7" s="167">
        <f t="shared" si="2"/>
        <v>0</v>
      </c>
      <c r="S7" s="169" t="str">
        <f t="shared" si="0"/>
        <v> </v>
      </c>
      <c r="T7" s="166" t="str">
        <f t="shared" si="3"/>
        <v> </v>
      </c>
      <c r="U7" s="169" t="str">
        <f t="shared" si="4"/>
        <v> </v>
      </c>
      <c r="V7" s="167"/>
    </row>
    <row r="8" spans="1:22" ht="12.75">
      <c r="A8" s="935">
        <f t="shared" si="5"/>
        <v>15</v>
      </c>
      <c r="B8" s="936">
        <f t="shared" si="6"/>
        <v>6</v>
      </c>
      <c r="C8" s="937">
        <f t="shared" si="7"/>
        <v>2007</v>
      </c>
      <c r="D8" s="583"/>
      <c r="E8" s="441"/>
      <c r="F8" s="444" t="s">
        <v>832</v>
      </c>
      <c r="G8" s="946"/>
      <c r="H8" s="166"/>
      <c r="I8" s="167"/>
      <c r="J8" s="167"/>
      <c r="K8" s="944"/>
      <c r="L8" s="945" t="s">
        <v>832</v>
      </c>
      <c r="M8" s="945"/>
      <c r="N8" s="166" t="str">
        <f t="shared" si="1"/>
        <v> </v>
      </c>
      <c r="O8" s="167" t="s">
        <v>832</v>
      </c>
      <c r="P8" s="169"/>
      <c r="Q8" s="167">
        <f t="shared" si="8"/>
        <v>24</v>
      </c>
      <c r="R8" s="167">
        <f t="shared" si="2"/>
        <v>0</v>
      </c>
      <c r="S8" s="169" t="str">
        <f t="shared" si="0"/>
        <v> </v>
      </c>
      <c r="T8" s="166" t="str">
        <f t="shared" si="3"/>
        <v> </v>
      </c>
      <c r="U8" s="169" t="str">
        <f t="shared" si="4"/>
        <v> </v>
      </c>
      <c r="V8" s="167"/>
    </row>
    <row r="9" spans="1:22" ht="12.75">
      <c r="A9" s="935">
        <f t="shared" si="5"/>
        <v>16</v>
      </c>
      <c r="B9" s="936">
        <f t="shared" si="6"/>
        <v>6</v>
      </c>
      <c r="C9" s="937">
        <f t="shared" si="7"/>
        <v>2007</v>
      </c>
      <c r="D9" s="583" t="s">
        <v>839</v>
      </c>
      <c r="E9" s="441">
        <v>14</v>
      </c>
      <c r="F9" s="444" t="s">
        <v>832</v>
      </c>
      <c r="G9" s="946"/>
      <c r="H9" s="166"/>
      <c r="I9" s="167"/>
      <c r="J9" s="167"/>
      <c r="K9" s="944"/>
      <c r="L9" s="945" t="s">
        <v>832</v>
      </c>
      <c r="M9" s="945"/>
      <c r="N9" s="166">
        <f t="shared" si="1"/>
        <v>10</v>
      </c>
      <c r="O9" s="167" t="s">
        <v>832</v>
      </c>
      <c r="P9" s="169"/>
      <c r="Q9" s="167">
        <f t="shared" si="8"/>
        <v>24</v>
      </c>
      <c r="R9" s="167">
        <f t="shared" si="2"/>
        <v>1</v>
      </c>
      <c r="S9" s="169">
        <f t="shared" si="0"/>
        <v>10</v>
      </c>
      <c r="T9" s="166" t="str">
        <f t="shared" si="3"/>
        <v> </v>
      </c>
      <c r="U9" s="169">
        <f t="shared" si="4"/>
        <v>10</v>
      </c>
      <c r="V9" s="167"/>
    </row>
    <row r="10" spans="1:22" ht="12.75">
      <c r="A10" s="935">
        <f t="shared" si="5"/>
        <v>17</v>
      </c>
      <c r="B10" s="936">
        <f t="shared" si="6"/>
        <v>6</v>
      </c>
      <c r="C10" s="937">
        <f t="shared" si="7"/>
        <v>2007</v>
      </c>
      <c r="D10" s="583" t="s">
        <v>839</v>
      </c>
      <c r="E10" s="441">
        <v>14</v>
      </c>
      <c r="F10" s="444" t="s">
        <v>832</v>
      </c>
      <c r="G10" s="946"/>
      <c r="H10" s="166"/>
      <c r="I10" s="167"/>
      <c r="J10" s="167"/>
      <c r="K10" s="944"/>
      <c r="L10" s="945" t="s">
        <v>832</v>
      </c>
      <c r="M10" s="945"/>
      <c r="N10" s="166">
        <f t="shared" si="1"/>
        <v>10</v>
      </c>
      <c r="O10" s="167" t="s">
        <v>832</v>
      </c>
      <c r="P10" s="169"/>
      <c r="Q10" s="167">
        <f t="shared" si="8"/>
        <v>24</v>
      </c>
      <c r="R10" s="167">
        <f t="shared" si="2"/>
        <v>1</v>
      </c>
      <c r="S10" s="169">
        <f t="shared" si="0"/>
        <v>10</v>
      </c>
      <c r="T10" s="166" t="str">
        <f t="shared" si="3"/>
        <v> </v>
      </c>
      <c r="U10" s="169">
        <f t="shared" si="4"/>
        <v>10</v>
      </c>
      <c r="V10" s="167"/>
    </row>
    <row r="11" spans="1:22" ht="12.75">
      <c r="A11" s="935">
        <f t="shared" si="5"/>
        <v>18</v>
      </c>
      <c r="B11" s="936">
        <f t="shared" si="6"/>
        <v>6</v>
      </c>
      <c r="C11" s="937">
        <f t="shared" si="7"/>
        <v>2007</v>
      </c>
      <c r="D11" s="583"/>
      <c r="E11" s="441"/>
      <c r="F11" s="444" t="s">
        <v>832</v>
      </c>
      <c r="G11" s="946"/>
      <c r="H11" s="166"/>
      <c r="I11" s="167"/>
      <c r="J11" s="167"/>
      <c r="K11" s="944"/>
      <c r="L11" s="945" t="s">
        <v>832</v>
      </c>
      <c r="M11" s="945"/>
      <c r="N11" s="166" t="str">
        <f t="shared" si="1"/>
        <v> </v>
      </c>
      <c r="O11" s="167" t="s">
        <v>832</v>
      </c>
      <c r="P11" s="169"/>
      <c r="Q11" s="167">
        <f t="shared" si="8"/>
        <v>24</v>
      </c>
      <c r="R11" s="167">
        <f t="shared" si="2"/>
        <v>0</v>
      </c>
      <c r="S11" s="169" t="str">
        <f t="shared" si="0"/>
        <v> </v>
      </c>
      <c r="T11" s="166" t="str">
        <f t="shared" si="3"/>
        <v> </v>
      </c>
      <c r="U11" s="169" t="str">
        <f t="shared" si="4"/>
        <v> </v>
      </c>
      <c r="V11" s="167"/>
    </row>
    <row r="12" spans="1:22" ht="12.75">
      <c r="A12" s="935">
        <f t="shared" si="5"/>
        <v>19</v>
      </c>
      <c r="B12" s="936">
        <f t="shared" si="6"/>
        <v>6</v>
      </c>
      <c r="C12" s="937">
        <f t="shared" si="7"/>
        <v>2007</v>
      </c>
      <c r="D12" s="583"/>
      <c r="E12" s="441"/>
      <c r="F12" s="444" t="s">
        <v>832</v>
      </c>
      <c r="G12" s="946"/>
      <c r="H12" s="166"/>
      <c r="I12" s="167"/>
      <c r="J12" s="167"/>
      <c r="K12" s="944"/>
      <c r="L12" s="945" t="s">
        <v>832</v>
      </c>
      <c r="M12" s="945"/>
      <c r="N12" s="166" t="str">
        <f t="shared" si="1"/>
        <v> </v>
      </c>
      <c r="O12" s="167" t="s">
        <v>832</v>
      </c>
      <c r="P12" s="169"/>
      <c r="Q12" s="167">
        <f t="shared" si="8"/>
        <v>24</v>
      </c>
      <c r="R12" s="167">
        <f t="shared" si="2"/>
        <v>0</v>
      </c>
      <c r="S12" s="169" t="str">
        <f t="shared" si="0"/>
        <v> </v>
      </c>
      <c r="T12" s="166" t="str">
        <f t="shared" si="3"/>
        <v> </v>
      </c>
      <c r="U12" s="169" t="str">
        <f t="shared" si="4"/>
        <v> </v>
      </c>
      <c r="V12" s="167"/>
    </row>
    <row r="13" spans="1:22" ht="12.75">
      <c r="A13" s="935">
        <f t="shared" si="5"/>
        <v>20</v>
      </c>
      <c r="B13" s="936">
        <f t="shared" si="6"/>
        <v>6</v>
      </c>
      <c r="C13" s="937">
        <f t="shared" si="7"/>
        <v>2007</v>
      </c>
      <c r="D13" s="583"/>
      <c r="E13" s="441"/>
      <c r="F13" s="444" t="s">
        <v>832</v>
      </c>
      <c r="G13" s="946"/>
      <c r="H13" s="166"/>
      <c r="I13" s="167"/>
      <c r="J13" s="167"/>
      <c r="K13" s="944"/>
      <c r="L13" s="945" t="s">
        <v>832</v>
      </c>
      <c r="M13" s="945"/>
      <c r="N13" s="166" t="str">
        <f t="shared" si="1"/>
        <v> </v>
      </c>
      <c r="O13" s="167" t="s">
        <v>832</v>
      </c>
      <c r="P13" s="169"/>
      <c r="Q13" s="167">
        <f t="shared" si="8"/>
        <v>24</v>
      </c>
      <c r="R13" s="167">
        <f t="shared" si="2"/>
        <v>0</v>
      </c>
      <c r="S13" s="169" t="str">
        <f t="shared" si="0"/>
        <v> </v>
      </c>
      <c r="T13" s="166" t="str">
        <f t="shared" si="3"/>
        <v> </v>
      </c>
      <c r="U13" s="169" t="str">
        <f t="shared" si="4"/>
        <v> </v>
      </c>
      <c r="V13" s="167"/>
    </row>
    <row r="14" spans="1:22" ht="12.75">
      <c r="A14" s="935">
        <f t="shared" si="5"/>
        <v>21</v>
      </c>
      <c r="B14" s="936">
        <f t="shared" si="6"/>
        <v>6</v>
      </c>
      <c r="C14" s="937">
        <f t="shared" si="7"/>
        <v>2007</v>
      </c>
      <c r="D14" s="583" t="s">
        <v>839</v>
      </c>
      <c r="E14" s="441">
        <v>11</v>
      </c>
      <c r="F14" s="444" t="s">
        <v>832</v>
      </c>
      <c r="G14" s="946"/>
      <c r="H14" s="166">
        <v>4</v>
      </c>
      <c r="I14" s="167" t="s">
        <v>832</v>
      </c>
      <c r="J14" s="167"/>
      <c r="K14" s="944">
        <v>6</v>
      </c>
      <c r="L14" s="945" t="s">
        <v>832</v>
      </c>
      <c r="M14" s="945"/>
      <c r="N14" s="166">
        <f t="shared" si="1"/>
        <v>15</v>
      </c>
      <c r="O14" s="167" t="s">
        <v>832</v>
      </c>
      <c r="P14" s="169"/>
      <c r="Q14" s="167">
        <f t="shared" si="8"/>
        <v>24</v>
      </c>
      <c r="R14" s="167">
        <f t="shared" si="2"/>
        <v>1</v>
      </c>
      <c r="S14" s="169">
        <f t="shared" si="0"/>
        <v>19</v>
      </c>
      <c r="T14" s="166">
        <f t="shared" si="3"/>
        <v>4</v>
      </c>
      <c r="U14" s="169">
        <f t="shared" si="4"/>
        <v>15</v>
      </c>
      <c r="V14" s="167"/>
    </row>
    <row r="15" spans="1:22" ht="12.75">
      <c r="A15" s="935">
        <f t="shared" si="5"/>
        <v>22</v>
      </c>
      <c r="B15" s="936">
        <f t="shared" si="6"/>
        <v>6</v>
      </c>
      <c r="C15" s="937">
        <f t="shared" si="7"/>
        <v>2007</v>
      </c>
      <c r="D15" s="583" t="s">
        <v>839</v>
      </c>
      <c r="E15" s="441">
        <v>15</v>
      </c>
      <c r="F15" s="444" t="s">
        <v>832</v>
      </c>
      <c r="G15" s="946"/>
      <c r="H15" s="166">
        <v>3</v>
      </c>
      <c r="I15" s="167" t="s">
        <v>832</v>
      </c>
      <c r="J15" s="167"/>
      <c r="K15" s="944">
        <v>8</v>
      </c>
      <c r="L15" s="945" t="s">
        <v>832</v>
      </c>
      <c r="M15" s="945"/>
      <c r="N15" s="166">
        <f t="shared" si="1"/>
        <v>14</v>
      </c>
      <c r="O15" s="167" t="s">
        <v>832</v>
      </c>
      <c r="P15" s="169"/>
      <c r="Q15" s="167">
        <f t="shared" si="8"/>
        <v>24</v>
      </c>
      <c r="R15" s="167">
        <f t="shared" si="2"/>
        <v>1</v>
      </c>
      <c r="S15" s="169">
        <f t="shared" si="0"/>
        <v>17</v>
      </c>
      <c r="T15" s="166">
        <f t="shared" si="3"/>
        <v>3</v>
      </c>
      <c r="U15" s="169">
        <f t="shared" si="4"/>
        <v>14</v>
      </c>
      <c r="V15" s="167"/>
    </row>
    <row r="16" spans="1:22" ht="12.75">
      <c r="A16" s="935">
        <f t="shared" si="5"/>
        <v>23</v>
      </c>
      <c r="B16" s="936">
        <f t="shared" si="6"/>
        <v>6</v>
      </c>
      <c r="C16" s="937">
        <f t="shared" si="7"/>
        <v>2007</v>
      </c>
      <c r="D16" s="583" t="s">
        <v>839</v>
      </c>
      <c r="E16" s="441">
        <v>23</v>
      </c>
      <c r="F16" s="444" t="s">
        <v>832</v>
      </c>
      <c r="G16" s="946"/>
      <c r="H16" s="166"/>
      <c r="I16" s="167"/>
      <c r="J16" s="167"/>
      <c r="K16" s="944">
        <v>7</v>
      </c>
      <c r="L16" s="945" t="s">
        <v>832</v>
      </c>
      <c r="M16" s="945"/>
      <c r="N16" s="166">
        <f t="shared" si="1"/>
        <v>8</v>
      </c>
      <c r="O16" s="167" t="s">
        <v>832</v>
      </c>
      <c r="P16" s="169"/>
      <c r="Q16" s="167">
        <f t="shared" si="8"/>
        <v>24</v>
      </c>
      <c r="R16" s="167">
        <f t="shared" si="2"/>
        <v>1</v>
      </c>
      <c r="S16" s="169">
        <f t="shared" si="0"/>
        <v>8</v>
      </c>
      <c r="T16" s="166" t="str">
        <f t="shared" si="3"/>
        <v> </v>
      </c>
      <c r="U16" s="169">
        <f t="shared" si="4"/>
        <v>8</v>
      </c>
      <c r="V16" s="167"/>
    </row>
    <row r="17" spans="1:22" ht="12.75">
      <c r="A17" s="935">
        <f t="shared" si="5"/>
        <v>24</v>
      </c>
      <c r="B17" s="936">
        <f t="shared" si="6"/>
        <v>6</v>
      </c>
      <c r="C17" s="937">
        <f t="shared" si="7"/>
        <v>2007</v>
      </c>
      <c r="D17" s="583" t="s">
        <v>839</v>
      </c>
      <c r="E17" s="441">
        <v>2</v>
      </c>
      <c r="F17" s="444" t="s">
        <v>832</v>
      </c>
      <c r="G17" s="946"/>
      <c r="H17" s="166"/>
      <c r="I17" s="167"/>
      <c r="J17" s="167"/>
      <c r="K17" s="944">
        <v>7</v>
      </c>
      <c r="L17" s="945" t="s">
        <v>832</v>
      </c>
      <c r="M17" s="945"/>
      <c r="N17" s="166">
        <f t="shared" si="1"/>
        <v>29</v>
      </c>
      <c r="O17" s="167" t="s">
        <v>832</v>
      </c>
      <c r="P17" s="169"/>
      <c r="Q17" s="167">
        <f t="shared" si="8"/>
        <v>24</v>
      </c>
      <c r="R17" s="167">
        <f t="shared" si="2"/>
        <v>1</v>
      </c>
      <c r="S17" s="169">
        <f t="shared" si="0"/>
        <v>29</v>
      </c>
      <c r="T17" s="166" t="str">
        <f t="shared" si="3"/>
        <v> </v>
      </c>
      <c r="U17" s="169">
        <f t="shared" si="4"/>
        <v>29</v>
      </c>
      <c r="V17" s="167"/>
    </row>
    <row r="18" spans="1:22" ht="12.75">
      <c r="A18" s="935">
        <f t="shared" si="5"/>
        <v>25</v>
      </c>
      <c r="B18" s="936">
        <f t="shared" si="6"/>
        <v>6</v>
      </c>
      <c r="C18" s="937">
        <f t="shared" si="7"/>
        <v>2007</v>
      </c>
      <c r="D18" s="583"/>
      <c r="E18" s="441"/>
      <c r="F18" s="444" t="s">
        <v>832</v>
      </c>
      <c r="G18" s="946"/>
      <c r="H18" s="166"/>
      <c r="I18" s="167"/>
      <c r="J18" s="167"/>
      <c r="K18" s="944"/>
      <c r="L18" s="945" t="s">
        <v>832</v>
      </c>
      <c r="M18" s="945"/>
      <c r="N18" s="166" t="str">
        <f t="shared" si="1"/>
        <v> </v>
      </c>
      <c r="O18" s="167" t="s">
        <v>832</v>
      </c>
      <c r="P18" s="169"/>
      <c r="Q18" s="167">
        <f t="shared" si="8"/>
        <v>24</v>
      </c>
      <c r="R18" s="167">
        <f t="shared" si="2"/>
        <v>0</v>
      </c>
      <c r="S18" s="169" t="str">
        <f t="shared" si="0"/>
        <v> </v>
      </c>
      <c r="T18" s="166" t="str">
        <f t="shared" si="3"/>
        <v> </v>
      </c>
      <c r="U18" s="169" t="str">
        <f t="shared" si="4"/>
        <v> </v>
      </c>
      <c r="V18" s="167"/>
    </row>
    <row r="19" spans="1:22" ht="12.75">
      <c r="A19" s="935">
        <f t="shared" si="5"/>
        <v>26</v>
      </c>
      <c r="B19" s="936">
        <f t="shared" si="6"/>
        <v>6</v>
      </c>
      <c r="C19" s="937">
        <f t="shared" si="7"/>
        <v>2007</v>
      </c>
      <c r="D19" s="583"/>
      <c r="E19" s="441"/>
      <c r="F19" s="444" t="s">
        <v>832</v>
      </c>
      <c r="G19" s="946"/>
      <c r="H19" s="166"/>
      <c r="I19" s="167"/>
      <c r="J19" s="167"/>
      <c r="K19" s="944"/>
      <c r="L19" s="945" t="s">
        <v>832</v>
      </c>
      <c r="M19" s="945"/>
      <c r="N19" s="166" t="str">
        <f t="shared" si="1"/>
        <v> </v>
      </c>
      <c r="O19" s="167" t="s">
        <v>832</v>
      </c>
      <c r="P19" s="169"/>
      <c r="Q19" s="167">
        <f t="shared" si="8"/>
        <v>24</v>
      </c>
      <c r="R19" s="167">
        <f t="shared" si="2"/>
        <v>0</v>
      </c>
      <c r="S19" s="169" t="str">
        <f t="shared" si="0"/>
        <v> </v>
      </c>
      <c r="T19" s="166" t="str">
        <f t="shared" si="3"/>
        <v> </v>
      </c>
      <c r="U19" s="169" t="str">
        <f t="shared" si="4"/>
        <v> </v>
      </c>
      <c r="V19" s="167"/>
    </row>
    <row r="20" spans="1:22" ht="12.75">
      <c r="A20" s="935">
        <f t="shared" si="5"/>
        <v>27</v>
      </c>
      <c r="B20" s="936">
        <f t="shared" si="6"/>
        <v>6</v>
      </c>
      <c r="C20" s="937">
        <f t="shared" si="7"/>
        <v>2007</v>
      </c>
      <c r="D20" s="583" t="s">
        <v>839</v>
      </c>
      <c r="E20" s="441">
        <v>24</v>
      </c>
      <c r="F20" s="444" t="s">
        <v>832</v>
      </c>
      <c r="G20" s="946"/>
      <c r="H20" s="166"/>
      <c r="I20" s="167"/>
      <c r="J20" s="167"/>
      <c r="K20" s="944">
        <v>4</v>
      </c>
      <c r="L20" s="945" t="s">
        <v>832</v>
      </c>
      <c r="M20" s="945"/>
      <c r="N20" s="166">
        <f t="shared" si="1"/>
        <v>4</v>
      </c>
      <c r="O20" s="167" t="s">
        <v>832</v>
      </c>
      <c r="P20" s="169"/>
      <c r="Q20" s="167">
        <f t="shared" si="8"/>
        <v>24</v>
      </c>
      <c r="R20" s="167">
        <f t="shared" si="2"/>
        <v>1</v>
      </c>
      <c r="S20" s="169">
        <f t="shared" si="0"/>
        <v>4</v>
      </c>
      <c r="T20" s="166" t="str">
        <f t="shared" si="3"/>
        <v> </v>
      </c>
      <c r="U20" s="169">
        <f t="shared" si="4"/>
        <v>4</v>
      </c>
      <c r="V20" s="167"/>
    </row>
    <row r="21" spans="1:22" ht="12.75">
      <c r="A21" s="935">
        <f t="shared" si="5"/>
        <v>28</v>
      </c>
      <c r="B21" s="936">
        <f t="shared" si="6"/>
        <v>6</v>
      </c>
      <c r="C21" s="937">
        <f t="shared" si="7"/>
        <v>2007</v>
      </c>
      <c r="D21" s="583"/>
      <c r="E21" s="441"/>
      <c r="F21" s="444" t="s">
        <v>832</v>
      </c>
      <c r="G21" s="946"/>
      <c r="H21" s="166"/>
      <c r="I21" s="167"/>
      <c r="J21" s="167"/>
      <c r="K21" s="944"/>
      <c r="L21" s="945" t="s">
        <v>832</v>
      </c>
      <c r="M21" s="945"/>
      <c r="N21" s="166" t="str">
        <f t="shared" si="1"/>
        <v> </v>
      </c>
      <c r="O21" s="167" t="s">
        <v>832</v>
      </c>
      <c r="P21" s="169"/>
      <c r="Q21" s="167">
        <f t="shared" si="8"/>
        <v>24</v>
      </c>
      <c r="R21" s="167">
        <f t="shared" si="2"/>
        <v>0</v>
      </c>
      <c r="S21" s="169" t="str">
        <f t="shared" si="0"/>
        <v> </v>
      </c>
      <c r="T21" s="166" t="str">
        <f t="shared" si="3"/>
        <v> </v>
      </c>
      <c r="U21" s="169" t="str">
        <f t="shared" si="4"/>
        <v> </v>
      </c>
      <c r="V21" s="167"/>
    </row>
    <row r="22" spans="1:22" ht="12.75">
      <c r="A22" s="935">
        <f t="shared" si="5"/>
        <v>29</v>
      </c>
      <c r="B22" s="936">
        <f t="shared" si="6"/>
        <v>6</v>
      </c>
      <c r="C22" s="937">
        <f t="shared" si="7"/>
        <v>2007</v>
      </c>
      <c r="D22" s="583"/>
      <c r="E22" s="441"/>
      <c r="F22" s="444" t="s">
        <v>832</v>
      </c>
      <c r="G22" s="946"/>
      <c r="H22" s="166"/>
      <c r="I22" s="167"/>
      <c r="J22" s="167"/>
      <c r="K22" s="944"/>
      <c r="L22" s="945" t="s">
        <v>832</v>
      </c>
      <c r="M22" s="945"/>
      <c r="N22" s="166" t="str">
        <f t="shared" si="1"/>
        <v> </v>
      </c>
      <c r="O22" s="167" t="s">
        <v>832</v>
      </c>
      <c r="P22" s="169"/>
      <c r="Q22" s="167">
        <f t="shared" si="8"/>
        <v>24</v>
      </c>
      <c r="R22" s="167">
        <f t="shared" si="2"/>
        <v>0</v>
      </c>
      <c r="S22" s="169" t="str">
        <f t="shared" si="0"/>
        <v> </v>
      </c>
      <c r="T22" s="166" t="str">
        <f t="shared" si="3"/>
        <v> </v>
      </c>
      <c r="U22" s="169" t="str">
        <f t="shared" si="4"/>
        <v> </v>
      </c>
      <c r="V22" s="167"/>
    </row>
    <row r="23" spans="1:22" ht="12.75">
      <c r="A23" s="935">
        <f t="shared" si="5"/>
        <v>30</v>
      </c>
      <c r="B23" s="936">
        <f t="shared" si="6"/>
        <v>6</v>
      </c>
      <c r="C23" s="937">
        <f t="shared" si="7"/>
        <v>2007</v>
      </c>
      <c r="D23" s="583"/>
      <c r="E23" s="441"/>
      <c r="F23" s="444" t="s">
        <v>832</v>
      </c>
      <c r="G23" s="946"/>
      <c r="H23" s="166"/>
      <c r="I23" s="167"/>
      <c r="J23" s="167"/>
      <c r="K23" s="944"/>
      <c r="L23" s="945" t="s">
        <v>832</v>
      </c>
      <c r="M23" s="945"/>
      <c r="N23" s="166" t="str">
        <f t="shared" si="1"/>
        <v> </v>
      </c>
      <c r="O23" s="167" t="s">
        <v>832</v>
      </c>
      <c r="P23" s="169"/>
      <c r="Q23" s="167">
        <f t="shared" si="8"/>
        <v>24</v>
      </c>
      <c r="R23" s="167">
        <f t="shared" si="2"/>
        <v>0</v>
      </c>
      <c r="S23" s="169" t="str">
        <f t="shared" si="0"/>
        <v> </v>
      </c>
      <c r="T23" s="168" t="str">
        <f t="shared" si="3"/>
        <v> </v>
      </c>
      <c r="U23" s="170" t="str">
        <f t="shared" si="4"/>
        <v> </v>
      </c>
      <c r="V23" s="167"/>
    </row>
    <row r="24" spans="1:22" ht="12.75">
      <c r="A24" s="204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204">
        <f>SUM(N4:N23)</f>
        <v>104</v>
      </c>
      <c r="O24" s="7" t="s">
        <v>832</v>
      </c>
      <c r="P24" s="211"/>
      <c r="Q24" s="7"/>
      <c r="R24" s="7"/>
      <c r="S24" s="211"/>
      <c r="T24" s="243"/>
      <c r="U24" s="515">
        <f>S24-T24</f>
        <v>0</v>
      </c>
      <c r="V24" s="167"/>
    </row>
    <row r="25" spans="1:21" ht="12.75">
      <c r="A25" s="20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>
        <v>8</v>
      </c>
      <c r="O25" s="530" t="s">
        <v>832</v>
      </c>
      <c r="P25" s="7"/>
      <c r="Q25" s="7"/>
      <c r="R25" s="7"/>
      <c r="S25" s="7"/>
      <c r="T25" s="7"/>
      <c r="U25" s="211"/>
    </row>
    <row r="26" spans="1:21" ht="12.75">
      <c r="A26" s="168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>
        <f>N24/N25</f>
        <v>13</v>
      </c>
      <c r="O26" s="161" t="s">
        <v>852</v>
      </c>
      <c r="P26" s="161"/>
      <c r="Q26" s="161"/>
      <c r="R26" s="161"/>
      <c r="S26" s="161"/>
      <c r="T26" s="161"/>
      <c r="U26" s="170"/>
    </row>
  </sheetData>
  <sheetProtection/>
  <mergeCells count="6">
    <mergeCell ref="A1:U1"/>
    <mergeCell ref="A2:C2"/>
    <mergeCell ref="N2:P2"/>
    <mergeCell ref="E2:G2"/>
    <mergeCell ref="H2:J2"/>
    <mergeCell ref="K2:M2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Feuil19"/>
  <dimension ref="B1:AH144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0.9921875" style="13" customWidth="1"/>
    <col min="2" max="2" width="28.140625" style="13" customWidth="1"/>
    <col min="3" max="3" width="11.7109375" style="53" customWidth="1"/>
    <col min="4" max="4" width="1.7109375" style="13" customWidth="1"/>
    <col min="5" max="5" width="1.1484375" style="8" customWidth="1"/>
    <col min="6" max="6" width="1.7109375" style="8" customWidth="1"/>
    <col min="7" max="7" width="34.57421875" style="13" customWidth="1"/>
    <col min="8" max="8" width="11.7109375" style="13" customWidth="1"/>
    <col min="9" max="10" width="1.1484375" style="8" customWidth="1"/>
    <col min="11" max="11" width="24.7109375" style="13" customWidth="1"/>
    <col min="12" max="12" width="11.7109375" style="53" bestFit="1" customWidth="1"/>
    <col min="13" max="13" width="10.421875" style="13" customWidth="1"/>
    <col min="14" max="14" width="28.140625" style="13" customWidth="1"/>
    <col min="15" max="15" width="11.7109375" style="53" customWidth="1"/>
    <col min="16" max="16" width="1.7109375" style="13" customWidth="1"/>
    <col min="17" max="17" width="1.1484375" style="8" customWidth="1"/>
    <col min="18" max="18" width="1.7109375" style="8" customWidth="1"/>
    <col min="19" max="19" width="34.57421875" style="13" customWidth="1"/>
    <col min="20" max="20" width="11.7109375" style="13" bestFit="1" customWidth="1"/>
    <col min="21" max="22" width="1.1484375" style="8" customWidth="1"/>
    <col min="23" max="23" width="24.7109375" style="13" customWidth="1"/>
    <col min="24" max="24" width="11.7109375" style="53" bestFit="1" customWidth="1"/>
    <col min="25" max="25" width="10.421875" style="17" customWidth="1"/>
    <col min="26" max="31" width="10.421875" style="25" customWidth="1"/>
    <col min="32" max="32" width="26.140625" style="13" customWidth="1"/>
    <col min="33" max="33" width="11.421875" style="53" customWidth="1"/>
    <col min="34" max="16384" width="11.421875" style="13" customWidth="1"/>
  </cols>
  <sheetData>
    <row r="1" spans="2:33" ht="12.75">
      <c r="B1" s="1967" t="s">
        <v>1215</v>
      </c>
      <c r="C1" s="1932"/>
      <c r="D1" s="1932"/>
      <c r="E1" s="1932"/>
      <c r="F1" s="1932"/>
      <c r="G1" s="1932"/>
      <c r="H1" s="1932"/>
      <c r="I1" s="1932"/>
      <c r="J1" s="1932"/>
      <c r="K1" s="1932"/>
      <c r="L1" s="1932"/>
      <c r="M1" s="1968"/>
      <c r="N1" s="1932" t="s">
        <v>31</v>
      </c>
      <c r="O1" s="1932"/>
      <c r="P1" s="1932"/>
      <c r="Q1" s="1932"/>
      <c r="R1" s="1932"/>
      <c r="S1" s="1932"/>
      <c r="T1" s="1932"/>
      <c r="U1" s="1932"/>
      <c r="V1" s="1932"/>
      <c r="W1" s="1932"/>
      <c r="X1" s="1932"/>
      <c r="Y1" s="25"/>
      <c r="AF1" s="51"/>
      <c r="AG1" s="45"/>
    </row>
    <row r="2" spans="2:33" ht="12.75">
      <c r="B2" s="2086" t="s">
        <v>1260</v>
      </c>
      <c r="C2" s="2087"/>
      <c r="D2" s="2088"/>
      <c r="E2" s="44"/>
      <c r="F2" s="2091" t="s">
        <v>1261</v>
      </c>
      <c r="G2" s="2092"/>
      <c r="H2" s="2092"/>
      <c r="I2" s="2093"/>
      <c r="J2" s="44"/>
      <c r="K2" s="1948" t="s">
        <v>1259</v>
      </c>
      <c r="L2" s="1963"/>
      <c r="M2" s="1949"/>
      <c r="N2" s="1861" t="s">
        <v>1260</v>
      </c>
      <c r="O2" s="1861"/>
      <c r="P2" s="1862"/>
      <c r="Q2" s="44"/>
      <c r="R2" s="1956" t="s">
        <v>1261</v>
      </c>
      <c r="S2" s="1957"/>
      <c r="T2" s="1957"/>
      <c r="U2" s="1958"/>
      <c r="V2" s="44"/>
      <c r="W2" s="1938" t="s">
        <v>1259</v>
      </c>
      <c r="X2" s="1962"/>
      <c r="Y2" s="25"/>
      <c r="AF2" s="2095" t="s">
        <v>9</v>
      </c>
      <c r="AG2" s="2096"/>
    </row>
    <row r="3" spans="2:33" ht="12.75">
      <c r="B3" s="72"/>
      <c r="C3" s="119"/>
      <c r="D3" s="73"/>
      <c r="E3" s="47"/>
      <c r="F3" s="78"/>
      <c r="G3" s="79" t="s">
        <v>1257</v>
      </c>
      <c r="H3" s="80"/>
      <c r="I3" s="124"/>
      <c r="J3" s="47"/>
      <c r="K3" s="93"/>
      <c r="L3" s="227" t="s">
        <v>29</v>
      </c>
      <c r="M3" s="221" t="s">
        <v>30</v>
      </c>
      <c r="N3" s="120"/>
      <c r="O3" s="119"/>
      <c r="P3" s="73"/>
      <c r="Q3" s="47"/>
      <c r="R3" s="78"/>
      <c r="S3" s="79" t="s">
        <v>1257</v>
      </c>
      <c r="T3" s="80"/>
      <c r="U3" s="124"/>
      <c r="V3" s="47"/>
      <c r="W3" s="92"/>
      <c r="X3" s="149"/>
      <c r="Y3" s="25"/>
      <c r="AF3" s="8"/>
      <c r="AG3" s="46"/>
    </row>
    <row r="4" spans="2:33" ht="12.75">
      <c r="B4" s="72"/>
      <c r="C4" s="119"/>
      <c r="D4" s="73"/>
      <c r="E4" s="47"/>
      <c r="F4" s="81"/>
      <c r="G4" s="82" t="s">
        <v>1188</v>
      </c>
      <c r="H4" s="83"/>
      <c r="I4" s="115"/>
      <c r="J4" s="47"/>
      <c r="K4" s="93"/>
      <c r="L4" s="117"/>
      <c r="M4" s="221"/>
      <c r="N4" s="120"/>
      <c r="O4" s="119"/>
      <c r="P4" s="73"/>
      <c r="Q4" s="47"/>
      <c r="R4" s="81"/>
      <c r="S4" s="82" t="s">
        <v>1188</v>
      </c>
      <c r="T4" s="83"/>
      <c r="U4" s="115"/>
      <c r="V4" s="47"/>
      <c r="W4" s="93"/>
      <c r="X4" s="117"/>
      <c r="Y4" s="25"/>
      <c r="AF4" s="8" t="s">
        <v>1179</v>
      </c>
      <c r="AG4" s="46">
        <f>'R1'!D5</f>
        <v>0</v>
      </c>
    </row>
    <row r="5" spans="2:33" ht="12.75">
      <c r="B5" s="72" t="s">
        <v>995</v>
      </c>
      <c r="C5" s="119"/>
      <c r="D5" s="73"/>
      <c r="E5" s="47"/>
      <c r="F5" s="81"/>
      <c r="G5" s="82" t="s">
        <v>1189</v>
      </c>
      <c r="H5" s="84"/>
      <c r="I5" s="115"/>
      <c r="J5" s="47"/>
      <c r="K5" s="93" t="s">
        <v>1222</v>
      </c>
      <c r="L5" s="117"/>
      <c r="M5" s="221"/>
      <c r="N5" s="120" t="s">
        <v>995</v>
      </c>
      <c r="O5" s="119"/>
      <c r="P5" s="73"/>
      <c r="Q5" s="47"/>
      <c r="R5" s="81"/>
      <c r="S5" s="82" t="s">
        <v>1189</v>
      </c>
      <c r="T5" s="84"/>
      <c r="U5" s="115"/>
      <c r="V5" s="47"/>
      <c r="W5" s="93" t="s">
        <v>1222</v>
      </c>
      <c r="X5" s="117"/>
      <c r="Y5" s="25"/>
      <c r="AF5" s="8" t="s">
        <v>1188</v>
      </c>
      <c r="AG5" s="46">
        <f>'R1'!D6</f>
        <v>0</v>
      </c>
    </row>
    <row r="6" spans="2:33" ht="12.75">
      <c r="B6" s="72"/>
      <c r="C6" s="119"/>
      <c r="D6" s="74"/>
      <c r="F6" s="85"/>
      <c r="G6" s="82"/>
      <c r="H6" s="84"/>
      <c r="I6" s="115"/>
      <c r="J6" s="47"/>
      <c r="K6" s="93"/>
      <c r="L6" s="117"/>
      <c r="M6" s="221"/>
      <c r="N6" s="120"/>
      <c r="O6" s="119"/>
      <c r="P6" s="74"/>
      <c r="R6" s="85"/>
      <c r="S6" s="82"/>
      <c r="T6" s="84"/>
      <c r="U6" s="115"/>
      <c r="V6" s="47"/>
      <c r="W6" s="93"/>
      <c r="X6" s="117"/>
      <c r="Y6" s="25"/>
      <c r="AF6" s="51" t="s">
        <v>1191</v>
      </c>
      <c r="AG6" s="45">
        <f>AG4+AG5</f>
        <v>0</v>
      </c>
    </row>
    <row r="7" spans="2:33" ht="12.75">
      <c r="B7" s="72" t="s">
        <v>1186</v>
      </c>
      <c r="C7" s="122"/>
      <c r="D7" s="73"/>
      <c r="E7" s="47"/>
      <c r="F7" s="81"/>
      <c r="G7" s="82"/>
      <c r="H7" s="233"/>
      <c r="I7" s="115"/>
      <c r="J7" s="47"/>
      <c r="K7" s="93"/>
      <c r="L7" s="117"/>
      <c r="M7" s="221"/>
      <c r="N7" s="120" t="s">
        <v>1186</v>
      </c>
      <c r="O7" s="122"/>
      <c r="P7" s="73"/>
      <c r="Q7" s="47"/>
      <c r="R7" s="81"/>
      <c r="S7" s="82"/>
      <c r="T7" s="84"/>
      <c r="U7" s="115"/>
      <c r="V7" s="47"/>
      <c r="W7" s="93"/>
      <c r="X7" s="117"/>
      <c r="Y7" s="25"/>
      <c r="AF7" s="8"/>
      <c r="AG7" s="46"/>
    </row>
    <row r="8" spans="2:33" ht="12.75">
      <c r="B8" s="72" t="s">
        <v>1187</v>
      </c>
      <c r="C8" s="123"/>
      <c r="D8" s="73"/>
      <c r="E8" s="47"/>
      <c r="F8" s="81"/>
      <c r="G8" s="82"/>
      <c r="H8" s="233"/>
      <c r="I8" s="114"/>
      <c r="K8" s="93"/>
      <c r="L8" s="117"/>
      <c r="M8" s="221"/>
      <c r="N8" s="120" t="s">
        <v>1187</v>
      </c>
      <c r="O8" s="123"/>
      <c r="P8" s="73"/>
      <c r="Q8" s="47"/>
      <c r="R8" s="81"/>
      <c r="S8" s="82"/>
      <c r="T8" s="82"/>
      <c r="U8" s="114"/>
      <c r="W8" s="93"/>
      <c r="X8" s="117"/>
      <c r="Y8" s="25"/>
      <c r="AF8" s="8" t="s">
        <v>995</v>
      </c>
      <c r="AG8" s="46">
        <f>'R1'!J6</f>
        <v>0</v>
      </c>
    </row>
    <row r="9" spans="2:33" ht="12.75">
      <c r="B9" s="76" t="s">
        <v>1178</v>
      </c>
      <c r="C9" s="119"/>
      <c r="D9" s="73"/>
      <c r="E9" s="47"/>
      <c r="F9" s="81"/>
      <c r="G9" s="82"/>
      <c r="H9" s="233"/>
      <c r="I9" s="115"/>
      <c r="J9" s="47"/>
      <c r="K9" s="93" t="s">
        <v>1221</v>
      </c>
      <c r="L9" s="117"/>
      <c r="M9" s="223"/>
      <c r="N9" s="121" t="s">
        <v>1178</v>
      </c>
      <c r="O9" s="119"/>
      <c r="P9" s="73"/>
      <c r="Q9" s="47"/>
      <c r="R9" s="81"/>
      <c r="S9" s="82"/>
      <c r="T9" s="84"/>
      <c r="U9" s="115"/>
      <c r="V9" s="47"/>
      <c r="W9" s="93" t="s">
        <v>1221</v>
      </c>
      <c r="X9" s="117"/>
      <c r="Y9" s="25"/>
      <c r="AF9" s="8" t="str">
        <f>AF6</f>
        <v>Coût d'achat des marchandises</v>
      </c>
      <c r="AG9" s="46">
        <f>AG6</f>
        <v>0</v>
      </c>
    </row>
    <row r="10" spans="2:33" ht="12.75">
      <c r="B10" s="72"/>
      <c r="C10" s="119"/>
      <c r="D10" s="74"/>
      <c r="F10" s="85"/>
      <c r="G10" s="82"/>
      <c r="H10" s="233"/>
      <c r="I10" s="114"/>
      <c r="K10" s="93"/>
      <c r="L10" s="117"/>
      <c r="M10" s="221"/>
      <c r="N10" s="120"/>
      <c r="O10" s="119"/>
      <c r="P10" s="74"/>
      <c r="R10" s="85"/>
      <c r="S10" s="82"/>
      <c r="T10" s="82"/>
      <c r="U10" s="114"/>
      <c r="W10" s="93"/>
      <c r="X10" s="117"/>
      <c r="Y10" s="25"/>
      <c r="AF10" s="51" t="s">
        <v>10</v>
      </c>
      <c r="AG10" s="45">
        <f>AG8-AG9</f>
        <v>0</v>
      </c>
    </row>
    <row r="11" spans="2:33" ht="12.75">
      <c r="B11" s="72" t="s">
        <v>1220</v>
      </c>
      <c r="C11" s="122"/>
      <c r="D11" s="73"/>
      <c r="E11" s="47"/>
      <c r="F11" s="81"/>
      <c r="G11" s="82"/>
      <c r="H11" s="233"/>
      <c r="I11" s="115"/>
      <c r="J11" s="47"/>
      <c r="K11" s="138" t="str">
        <f>B9</f>
        <v>Production Vendues</v>
      </c>
      <c r="L11" s="150"/>
      <c r="M11" s="221"/>
      <c r="N11" s="120" t="s">
        <v>1220</v>
      </c>
      <c r="O11" s="122"/>
      <c r="P11" s="73"/>
      <c r="Q11" s="47"/>
      <c r="R11" s="81"/>
      <c r="S11" s="82"/>
      <c r="T11" s="84"/>
      <c r="U11" s="115"/>
      <c r="V11" s="47"/>
      <c r="W11" s="138" t="str">
        <f>N9</f>
        <v>Production Vendues</v>
      </c>
      <c r="X11" s="150"/>
      <c r="Y11" s="25"/>
      <c r="AF11" s="8"/>
      <c r="AG11" s="46"/>
    </row>
    <row r="12" spans="2:33" ht="12.75">
      <c r="B12" s="72" t="s">
        <v>1180</v>
      </c>
      <c r="C12" s="123"/>
      <c r="D12" s="73"/>
      <c r="E12" s="47"/>
      <c r="F12" s="81"/>
      <c r="G12" s="82"/>
      <c r="H12" s="233"/>
      <c r="I12" s="114"/>
      <c r="K12" s="138" t="str">
        <f>B13</f>
        <v>Stocks de la productions</v>
      </c>
      <c r="L12" s="151"/>
      <c r="M12" s="221"/>
      <c r="N12" s="120" t="s">
        <v>1180</v>
      </c>
      <c r="O12" s="123"/>
      <c r="P12" s="73"/>
      <c r="Q12" s="47"/>
      <c r="R12" s="81"/>
      <c r="S12" s="82"/>
      <c r="T12" s="82"/>
      <c r="U12" s="114"/>
      <c r="W12" s="138" t="str">
        <f>N13</f>
        <v>Stocks de la productions</v>
      </c>
      <c r="X12" s="151"/>
      <c r="Y12" s="25"/>
      <c r="AF12" s="8" t="s">
        <v>15</v>
      </c>
      <c r="AG12" s="46">
        <f>'R1'!J7</f>
        <v>8912420</v>
      </c>
    </row>
    <row r="13" spans="2:33" ht="12.75">
      <c r="B13" s="76" t="s">
        <v>742</v>
      </c>
      <c r="C13" s="119"/>
      <c r="D13" s="73"/>
      <c r="E13" s="47"/>
      <c r="F13" s="81"/>
      <c r="G13" s="82"/>
      <c r="H13" s="84"/>
      <c r="I13" s="115"/>
      <c r="J13" s="47"/>
      <c r="K13" s="93" t="s">
        <v>1181</v>
      </c>
      <c r="L13" s="117"/>
      <c r="M13" s="221"/>
      <c r="N13" s="121" t="s">
        <v>742</v>
      </c>
      <c r="O13" s="119"/>
      <c r="P13" s="73"/>
      <c r="Q13" s="47"/>
      <c r="R13" s="81"/>
      <c r="S13" s="82"/>
      <c r="T13" s="84"/>
      <c r="U13" s="115"/>
      <c r="V13" s="47"/>
      <c r="W13" s="93" t="s">
        <v>1181</v>
      </c>
      <c r="X13" s="117"/>
      <c r="Y13" s="25"/>
      <c r="AF13" s="8" t="s">
        <v>16</v>
      </c>
      <c r="AG13" s="46">
        <f>'R1'!J8</f>
        <v>0</v>
      </c>
    </row>
    <row r="14" spans="2:33" ht="12.75">
      <c r="B14" s="72"/>
      <c r="C14" s="119"/>
      <c r="D14" s="73"/>
      <c r="E14" s="47"/>
      <c r="F14" s="81"/>
      <c r="G14" s="82"/>
      <c r="H14" s="82"/>
      <c r="I14" s="114"/>
      <c r="K14" s="93"/>
      <c r="L14" s="117"/>
      <c r="M14" s="221"/>
      <c r="N14" s="120"/>
      <c r="O14" s="119"/>
      <c r="P14" s="73"/>
      <c r="Q14" s="47"/>
      <c r="R14" s="81"/>
      <c r="S14" s="82"/>
      <c r="T14" s="82"/>
      <c r="U14" s="114"/>
      <c r="W14" s="93"/>
      <c r="X14" s="117"/>
      <c r="Y14" s="25"/>
      <c r="AF14" s="51" t="s">
        <v>11</v>
      </c>
      <c r="AG14" s="45">
        <f>AG12+AG13</f>
        <v>8912420</v>
      </c>
    </row>
    <row r="15" spans="2:33" ht="12.75">
      <c r="B15" s="72" t="s">
        <v>1178</v>
      </c>
      <c r="C15" s="122"/>
      <c r="D15" s="73"/>
      <c r="E15" s="47"/>
      <c r="F15" s="81"/>
      <c r="G15" s="82"/>
      <c r="H15" s="82"/>
      <c r="I15" s="114"/>
      <c r="K15" s="93"/>
      <c r="L15" s="117"/>
      <c r="M15" s="221"/>
      <c r="N15" s="120" t="s">
        <v>1178</v>
      </c>
      <c r="O15" s="122"/>
      <c r="P15" s="73"/>
      <c r="Q15" s="47"/>
      <c r="R15" s="81"/>
      <c r="S15" s="82"/>
      <c r="T15" s="82"/>
      <c r="U15" s="114"/>
      <c r="W15" s="93"/>
      <c r="X15" s="117"/>
      <c r="Y15" s="25"/>
      <c r="AF15" s="8"/>
      <c r="AG15" s="46"/>
    </row>
    <row r="16" spans="2:33" ht="12.75">
      <c r="B16" s="72" t="s">
        <v>1223</v>
      </c>
      <c r="C16" s="123"/>
      <c r="D16" s="73"/>
      <c r="E16" s="47"/>
      <c r="F16" s="81"/>
      <c r="G16" s="82" t="s">
        <v>1192</v>
      </c>
      <c r="H16" s="86"/>
      <c r="I16" s="115"/>
      <c r="J16" s="47"/>
      <c r="K16" s="93"/>
      <c r="L16" s="117"/>
      <c r="M16" s="221"/>
      <c r="N16" s="120" t="s">
        <v>1223</v>
      </c>
      <c r="O16" s="123"/>
      <c r="P16" s="73"/>
      <c r="Q16" s="47"/>
      <c r="R16" s="81"/>
      <c r="S16" s="82" t="s">
        <v>1192</v>
      </c>
      <c r="T16" s="86"/>
      <c r="U16" s="115"/>
      <c r="V16" s="47"/>
      <c r="W16" s="93"/>
      <c r="X16" s="117"/>
      <c r="Y16" s="25"/>
      <c r="AF16" s="8" t="s">
        <v>995</v>
      </c>
      <c r="AG16" s="46">
        <f>AG8</f>
        <v>0</v>
      </c>
    </row>
    <row r="17" spans="2:33" ht="12.75">
      <c r="B17" s="72" t="s">
        <v>1181</v>
      </c>
      <c r="C17" s="122"/>
      <c r="D17" s="73"/>
      <c r="E17" s="47"/>
      <c r="F17" s="81"/>
      <c r="G17" s="82" t="s">
        <v>1193</v>
      </c>
      <c r="H17" s="86"/>
      <c r="I17" s="115"/>
      <c r="J17" s="47"/>
      <c r="K17" s="93"/>
      <c r="L17" s="117"/>
      <c r="M17" s="221"/>
      <c r="N17" s="120" t="s">
        <v>1181</v>
      </c>
      <c r="O17" s="122"/>
      <c r="P17" s="73"/>
      <c r="Q17" s="47"/>
      <c r="R17" s="81"/>
      <c r="S17" s="82" t="s">
        <v>1193</v>
      </c>
      <c r="T17" s="86"/>
      <c r="U17" s="115"/>
      <c r="V17" s="47"/>
      <c r="W17" s="93"/>
      <c r="X17" s="117"/>
      <c r="Y17" s="25"/>
      <c r="AF17" s="8" t="s">
        <v>12</v>
      </c>
      <c r="AG17" s="46">
        <f>AG14</f>
        <v>8912420</v>
      </c>
    </row>
    <row r="18" spans="2:33" ht="12.75">
      <c r="B18" s="72" t="s">
        <v>33</v>
      </c>
      <c r="C18" s="123"/>
      <c r="D18" s="73"/>
      <c r="E18" s="47"/>
      <c r="F18" s="81"/>
      <c r="G18" s="82" t="s">
        <v>1194</v>
      </c>
      <c r="H18" s="83"/>
      <c r="I18" s="115"/>
      <c r="J18" s="47"/>
      <c r="K18" s="93"/>
      <c r="L18" s="117"/>
      <c r="M18" s="221"/>
      <c r="N18" s="120" t="s">
        <v>1182</v>
      </c>
      <c r="O18" s="123"/>
      <c r="P18" s="73"/>
      <c r="Q18" s="47"/>
      <c r="R18" s="81"/>
      <c r="S18" s="82" t="s">
        <v>1194</v>
      </c>
      <c r="T18" s="83"/>
      <c r="U18" s="115"/>
      <c r="V18" s="47"/>
      <c r="W18" s="93"/>
      <c r="X18" s="117"/>
      <c r="Y18" s="25"/>
      <c r="AF18" s="51" t="s">
        <v>13</v>
      </c>
      <c r="AG18" s="45">
        <f>AG16+AG17</f>
        <v>8912420</v>
      </c>
    </row>
    <row r="19" spans="2:33" ht="12.75">
      <c r="B19" s="2089" t="s">
        <v>32</v>
      </c>
      <c r="C19" s="1953"/>
      <c r="D19" s="73"/>
      <c r="E19" s="47"/>
      <c r="F19" s="81"/>
      <c r="G19" s="1950" t="s">
        <v>1258</v>
      </c>
      <c r="H19" s="1952"/>
      <c r="I19" s="115"/>
      <c r="J19" s="47"/>
      <c r="K19" s="1955" t="s">
        <v>1195</v>
      </c>
      <c r="L19" s="1959"/>
      <c r="M19" s="1917"/>
      <c r="N19" s="1960"/>
      <c r="O19" s="1953"/>
      <c r="P19" s="73"/>
      <c r="Q19" s="47"/>
      <c r="R19" s="81"/>
      <c r="S19" s="1950" t="s">
        <v>1258</v>
      </c>
      <c r="T19" s="1952"/>
      <c r="U19" s="115"/>
      <c r="V19" s="47"/>
      <c r="W19" s="1955" t="s">
        <v>1195</v>
      </c>
      <c r="X19" s="1959"/>
      <c r="Y19" s="156"/>
      <c r="Z19" s="156"/>
      <c r="AA19" s="156"/>
      <c r="AB19" s="156"/>
      <c r="AC19" s="156"/>
      <c r="AD19" s="156"/>
      <c r="AE19" s="156"/>
      <c r="AF19" s="8"/>
      <c r="AG19" s="46"/>
    </row>
    <row r="20" spans="2:34" ht="12.75">
      <c r="B20" s="2090"/>
      <c r="C20" s="1954"/>
      <c r="D20" s="73"/>
      <c r="E20" s="47"/>
      <c r="F20" s="81"/>
      <c r="G20" s="1951"/>
      <c r="H20" s="1572"/>
      <c r="I20" s="115"/>
      <c r="J20" s="47"/>
      <c r="K20" s="1955"/>
      <c r="L20" s="1959"/>
      <c r="M20" s="1918"/>
      <c r="N20" s="1961"/>
      <c r="O20" s="1954"/>
      <c r="P20" s="73"/>
      <c r="Q20" s="47"/>
      <c r="R20" s="81"/>
      <c r="S20" s="1951"/>
      <c r="T20" s="1572"/>
      <c r="U20" s="115"/>
      <c r="V20" s="47"/>
      <c r="W20" s="1955"/>
      <c r="X20" s="1959"/>
      <c r="Y20" s="157"/>
      <c r="Z20" s="157"/>
      <c r="AA20" s="157"/>
      <c r="AB20" s="157"/>
      <c r="AC20" s="157"/>
      <c r="AD20" s="157"/>
      <c r="AE20" s="157"/>
      <c r="AF20" s="8" t="s">
        <v>1192</v>
      </c>
      <c r="AG20" s="46">
        <f>'R1'!D8</f>
        <v>0</v>
      </c>
      <c r="AH20" s="53"/>
    </row>
    <row r="21" spans="2:33" ht="12.75">
      <c r="B21" s="72"/>
      <c r="C21" s="119"/>
      <c r="D21" s="74"/>
      <c r="F21" s="85"/>
      <c r="G21" s="82"/>
      <c r="H21" s="84"/>
      <c r="I21" s="114"/>
      <c r="K21" s="93"/>
      <c r="L21" s="117"/>
      <c r="M21" s="221"/>
      <c r="N21" s="120"/>
      <c r="O21" s="119"/>
      <c r="P21" s="74"/>
      <c r="R21" s="85"/>
      <c r="S21" s="82"/>
      <c r="T21" s="84"/>
      <c r="U21" s="114"/>
      <c r="W21" s="93"/>
      <c r="X21" s="117"/>
      <c r="Y21" s="25"/>
      <c r="AF21" s="8" t="s">
        <v>14</v>
      </c>
      <c r="AG21" s="46">
        <f>'R1'!D9</f>
        <v>0</v>
      </c>
    </row>
    <row r="22" spans="2:33" ht="12.75">
      <c r="B22" s="72"/>
      <c r="C22" s="119"/>
      <c r="D22" s="74"/>
      <c r="F22" s="85"/>
      <c r="G22" s="82" t="s">
        <v>1198</v>
      </c>
      <c r="H22" s="86"/>
      <c r="I22" s="115"/>
      <c r="J22" s="47"/>
      <c r="K22" s="93"/>
      <c r="L22" s="117"/>
      <c r="M22" s="221"/>
      <c r="N22" s="120"/>
      <c r="O22" s="119"/>
      <c r="P22" s="74"/>
      <c r="R22" s="85"/>
      <c r="S22" s="82" t="s">
        <v>1198</v>
      </c>
      <c r="T22" s="86"/>
      <c r="U22" s="115"/>
      <c r="V22" s="47"/>
      <c r="W22" s="93"/>
      <c r="X22" s="117"/>
      <c r="Y22" s="25"/>
      <c r="AF22" s="8" t="s">
        <v>1194</v>
      </c>
      <c r="AG22" s="46">
        <f>'R1'!D11</f>
        <v>0</v>
      </c>
    </row>
    <row r="23" spans="2:33" ht="12.75">
      <c r="B23" s="72"/>
      <c r="C23" s="119"/>
      <c r="D23" s="74"/>
      <c r="F23" s="85"/>
      <c r="G23" s="82" t="s">
        <v>1171</v>
      </c>
      <c r="H23" s="83"/>
      <c r="I23" s="115"/>
      <c r="J23" s="47"/>
      <c r="K23" s="93"/>
      <c r="L23" s="117"/>
      <c r="M23" s="221"/>
      <c r="N23" s="120"/>
      <c r="O23" s="119"/>
      <c r="P23" s="74"/>
      <c r="R23" s="85"/>
      <c r="S23" s="82" t="s">
        <v>1171</v>
      </c>
      <c r="T23" s="83"/>
      <c r="U23" s="115"/>
      <c r="V23" s="47"/>
      <c r="W23" s="93"/>
      <c r="X23" s="117"/>
      <c r="Y23" s="25"/>
      <c r="AF23" s="51" t="s">
        <v>1190</v>
      </c>
      <c r="AG23" s="45">
        <f>SUM(AG20:AG22)</f>
        <v>0</v>
      </c>
    </row>
    <row r="24" spans="2:33" ht="12.75">
      <c r="B24" s="72"/>
      <c r="C24" s="119"/>
      <c r="D24" s="74"/>
      <c r="F24" s="85"/>
      <c r="G24" s="79" t="s">
        <v>1199</v>
      </c>
      <c r="H24" s="84"/>
      <c r="I24" s="115"/>
      <c r="J24" s="47"/>
      <c r="K24" s="93"/>
      <c r="L24" s="117"/>
      <c r="M24" s="221"/>
      <c r="N24" s="120"/>
      <c r="O24" s="119"/>
      <c r="P24" s="74"/>
      <c r="R24" s="85"/>
      <c r="S24" s="79" t="s">
        <v>1199</v>
      </c>
      <c r="T24" s="84"/>
      <c r="U24" s="115"/>
      <c r="V24" s="47"/>
      <c r="W24" s="93"/>
      <c r="X24" s="117"/>
      <c r="Y24" s="25"/>
      <c r="AF24" s="8"/>
      <c r="AG24" s="46"/>
    </row>
    <row r="25" spans="2:33" ht="12.75">
      <c r="B25" s="72"/>
      <c r="C25" s="119"/>
      <c r="D25" s="74"/>
      <c r="F25" s="85"/>
      <c r="G25" s="82"/>
      <c r="H25" s="82"/>
      <c r="I25" s="114"/>
      <c r="K25" s="93"/>
      <c r="L25" s="117"/>
      <c r="M25" s="221"/>
      <c r="N25" s="120"/>
      <c r="O25" s="119"/>
      <c r="P25" s="74"/>
      <c r="R25" s="85"/>
      <c r="S25" s="82"/>
      <c r="T25" s="82"/>
      <c r="U25" s="114"/>
      <c r="W25" s="93"/>
      <c r="X25" s="117"/>
      <c r="Y25" s="25"/>
      <c r="AF25" s="8" t="s">
        <v>12</v>
      </c>
      <c r="AG25" s="46">
        <f>AG14</f>
        <v>8912420</v>
      </c>
    </row>
    <row r="26" spans="2:33" ht="12.75">
      <c r="B26" s="72" t="s">
        <v>1196</v>
      </c>
      <c r="C26" s="122"/>
      <c r="D26" s="73"/>
      <c r="E26" s="47"/>
      <c r="F26" s="81"/>
      <c r="G26" s="82" t="s">
        <v>1200</v>
      </c>
      <c r="H26" s="86"/>
      <c r="I26" s="115"/>
      <c r="J26" s="47"/>
      <c r="K26" s="93"/>
      <c r="L26" s="117"/>
      <c r="M26" s="221"/>
      <c r="N26" s="120" t="s">
        <v>1196</v>
      </c>
      <c r="O26" s="122"/>
      <c r="P26" s="73"/>
      <c r="Q26" s="47"/>
      <c r="R26" s="81"/>
      <c r="S26" s="82" t="s">
        <v>1200</v>
      </c>
      <c r="T26" s="86"/>
      <c r="U26" s="115"/>
      <c r="V26" s="47"/>
      <c r="W26" s="93"/>
      <c r="X26" s="117"/>
      <c r="Y26" s="25"/>
      <c r="AF26" s="8" t="s">
        <v>1185</v>
      </c>
      <c r="AG26" s="46">
        <f>'R1'!J11</f>
        <v>0</v>
      </c>
    </row>
    <row r="27" spans="2:33" ht="12.75">
      <c r="B27" s="72" t="s">
        <v>1002</v>
      </c>
      <c r="C27" s="123"/>
      <c r="D27" s="73"/>
      <c r="E27" s="47"/>
      <c r="F27" s="81"/>
      <c r="G27" s="82" t="s">
        <v>1197</v>
      </c>
      <c r="H27" s="83"/>
      <c r="I27" s="115"/>
      <c r="J27" s="47"/>
      <c r="K27" s="93"/>
      <c r="L27" s="117"/>
      <c r="M27" s="221"/>
      <c r="N27" s="120" t="s">
        <v>1002</v>
      </c>
      <c r="O27" s="123"/>
      <c r="P27" s="73"/>
      <c r="Q27" s="47"/>
      <c r="R27" s="81"/>
      <c r="S27" s="82" t="s">
        <v>1197</v>
      </c>
      <c r="T27" s="83"/>
      <c r="U27" s="115"/>
      <c r="V27" s="47"/>
      <c r="W27" s="93"/>
      <c r="X27" s="117"/>
      <c r="Y27" s="25"/>
      <c r="AF27" s="8" t="s">
        <v>1180</v>
      </c>
      <c r="AG27" s="46">
        <f>'R1'!J12</f>
        <v>0</v>
      </c>
    </row>
    <row r="28" spans="2:33" ht="12.75">
      <c r="B28" s="70"/>
      <c r="C28" s="119"/>
      <c r="D28" s="73"/>
      <c r="E28" s="47"/>
      <c r="F28" s="81"/>
      <c r="G28" s="79"/>
      <c r="H28" s="84"/>
      <c r="I28" s="115"/>
      <c r="J28" s="47"/>
      <c r="K28" s="93" t="s">
        <v>1224</v>
      </c>
      <c r="L28" s="117"/>
      <c r="M28" s="223"/>
      <c r="N28" s="228"/>
      <c r="O28" s="119"/>
      <c r="P28" s="73"/>
      <c r="Q28" s="47"/>
      <c r="R28" s="81"/>
      <c r="S28" s="79"/>
      <c r="T28" s="84"/>
      <c r="U28" s="115"/>
      <c r="V28" s="47"/>
      <c r="W28" s="93" t="s">
        <v>1224</v>
      </c>
      <c r="X28" s="117"/>
      <c r="Y28" s="158"/>
      <c r="Z28" s="158"/>
      <c r="AA28" s="158"/>
      <c r="AB28" s="158"/>
      <c r="AC28" s="158"/>
      <c r="AD28" s="158"/>
      <c r="AE28" s="158"/>
      <c r="AF28" s="51" t="s">
        <v>1181</v>
      </c>
      <c r="AG28" s="45">
        <f>SUM(AG25:AG27)</f>
        <v>8912420</v>
      </c>
    </row>
    <row r="29" spans="2:33" ht="12.75">
      <c r="B29" s="72"/>
      <c r="C29" s="119"/>
      <c r="D29" s="73"/>
      <c r="E29" s="47"/>
      <c r="F29" s="81"/>
      <c r="G29" s="82"/>
      <c r="H29" s="84"/>
      <c r="I29" s="115"/>
      <c r="J29" s="47"/>
      <c r="K29" s="93"/>
      <c r="L29" s="117"/>
      <c r="M29" s="221"/>
      <c r="N29" s="120"/>
      <c r="O29" s="119"/>
      <c r="P29" s="73"/>
      <c r="Q29" s="47"/>
      <c r="R29" s="81"/>
      <c r="S29" s="82"/>
      <c r="T29" s="84"/>
      <c r="U29" s="115"/>
      <c r="V29" s="47"/>
      <c r="W29" s="93"/>
      <c r="X29" s="117"/>
      <c r="Y29" s="25"/>
      <c r="AF29" s="8"/>
      <c r="AG29" s="46"/>
    </row>
    <row r="30" spans="2:33" ht="12.75">
      <c r="B30" s="72"/>
      <c r="C30" s="119"/>
      <c r="D30" s="74"/>
      <c r="F30" s="85"/>
      <c r="G30" s="88" t="s">
        <v>1205</v>
      </c>
      <c r="H30" s="86"/>
      <c r="I30" s="114"/>
      <c r="K30" s="93"/>
      <c r="L30" s="117"/>
      <c r="M30" s="221"/>
      <c r="N30" s="120"/>
      <c r="O30" s="119"/>
      <c r="P30" s="74"/>
      <c r="R30" s="85"/>
      <c r="S30" s="88" t="s">
        <v>1205</v>
      </c>
      <c r="T30" s="86"/>
      <c r="U30" s="114"/>
      <c r="W30" s="93"/>
      <c r="X30" s="117"/>
      <c r="Y30" s="25"/>
      <c r="AF30" s="8" t="s">
        <v>20</v>
      </c>
      <c r="AG30" s="46">
        <f>AG28</f>
        <v>8912420</v>
      </c>
    </row>
    <row r="31" spans="2:33" ht="12.75">
      <c r="B31" s="72"/>
      <c r="C31" s="119"/>
      <c r="D31" s="73"/>
      <c r="F31" s="85"/>
      <c r="G31" s="88" t="s">
        <v>1207</v>
      </c>
      <c r="H31" s="86"/>
      <c r="I31" s="114"/>
      <c r="K31" s="93"/>
      <c r="L31" s="117"/>
      <c r="M31" s="221"/>
      <c r="N31" s="120"/>
      <c r="O31" s="119"/>
      <c r="P31" s="73"/>
      <c r="R31" s="85"/>
      <c r="S31" s="88" t="s">
        <v>1207</v>
      </c>
      <c r="T31" s="86"/>
      <c r="U31" s="114"/>
      <c r="W31" s="93"/>
      <c r="X31" s="117"/>
      <c r="Y31" s="25"/>
      <c r="AF31" s="8" t="s">
        <v>17</v>
      </c>
      <c r="AG31" s="46">
        <f>AG10</f>
        <v>0</v>
      </c>
    </row>
    <row r="32" spans="2:33" ht="12.75">
      <c r="B32" s="72"/>
      <c r="C32" s="119"/>
      <c r="D32" s="74"/>
      <c r="F32" s="85"/>
      <c r="G32" s="88" t="s">
        <v>1208</v>
      </c>
      <c r="H32" s="86"/>
      <c r="I32" s="114"/>
      <c r="K32" s="93"/>
      <c r="L32" s="117"/>
      <c r="M32" s="221"/>
      <c r="N32" s="120"/>
      <c r="O32" s="119"/>
      <c r="P32" s="74"/>
      <c r="R32" s="85"/>
      <c r="S32" s="88" t="s">
        <v>1208</v>
      </c>
      <c r="T32" s="86"/>
      <c r="U32" s="114"/>
      <c r="W32" s="93"/>
      <c r="X32" s="117"/>
      <c r="Y32" s="25"/>
      <c r="AF32" s="8" t="s">
        <v>18</v>
      </c>
      <c r="AG32" s="46">
        <f>-AG23</f>
        <v>0</v>
      </c>
    </row>
    <row r="33" spans="2:33" ht="12.75">
      <c r="B33" s="72" t="s">
        <v>1201</v>
      </c>
      <c r="C33" s="122"/>
      <c r="D33" s="73"/>
      <c r="F33" s="85"/>
      <c r="G33" s="89" t="s">
        <v>1206</v>
      </c>
      <c r="H33" s="83"/>
      <c r="I33" s="114"/>
      <c r="K33" s="93"/>
      <c r="L33" s="117"/>
      <c r="M33" s="221"/>
      <c r="N33" s="120" t="s">
        <v>1201</v>
      </c>
      <c r="O33" s="122"/>
      <c r="P33" s="73"/>
      <c r="R33" s="85"/>
      <c r="S33" s="89" t="s">
        <v>1206</v>
      </c>
      <c r="T33" s="83"/>
      <c r="U33" s="114"/>
      <c r="W33" s="93"/>
      <c r="X33" s="117"/>
      <c r="Y33" s="25"/>
      <c r="AF33" s="51" t="s">
        <v>19</v>
      </c>
      <c r="AG33" s="45">
        <f>SUM(AG30:AG32)</f>
        <v>8912420</v>
      </c>
    </row>
    <row r="34" spans="2:33" ht="12.75">
      <c r="B34" s="72" t="s">
        <v>1202</v>
      </c>
      <c r="C34" s="122"/>
      <c r="D34" s="73"/>
      <c r="F34" s="85"/>
      <c r="G34" s="82" t="s">
        <v>1204</v>
      </c>
      <c r="H34" s="84"/>
      <c r="I34" s="114"/>
      <c r="K34" s="93"/>
      <c r="L34" s="117"/>
      <c r="M34" s="221"/>
      <c r="N34" s="120" t="s">
        <v>1202</v>
      </c>
      <c r="O34" s="122"/>
      <c r="P34" s="73"/>
      <c r="R34" s="85"/>
      <c r="S34" s="82" t="s">
        <v>1204</v>
      </c>
      <c r="T34" s="84"/>
      <c r="U34" s="114"/>
      <c r="W34" s="93"/>
      <c r="X34" s="117"/>
      <c r="Y34" s="25"/>
      <c r="AF34" s="8"/>
      <c r="AG34" s="46"/>
    </row>
    <row r="35" spans="2:33" ht="12.75">
      <c r="B35" s="72" t="s">
        <v>1203</v>
      </c>
      <c r="C35" s="119"/>
      <c r="D35" s="73"/>
      <c r="F35" s="85"/>
      <c r="G35" s="88" t="s">
        <v>1005</v>
      </c>
      <c r="H35" s="84"/>
      <c r="I35" s="114"/>
      <c r="K35" s="93"/>
      <c r="L35" s="117"/>
      <c r="M35" s="221"/>
      <c r="N35" s="120" t="s">
        <v>1203</v>
      </c>
      <c r="O35" s="119"/>
      <c r="P35" s="73"/>
      <c r="R35" s="85"/>
      <c r="S35" s="88" t="s">
        <v>1005</v>
      </c>
      <c r="T35" s="84"/>
      <c r="U35" s="114"/>
      <c r="W35" s="93"/>
      <c r="X35" s="117"/>
      <c r="Y35" s="25"/>
      <c r="AF35" s="8"/>
      <c r="AG35" s="46"/>
    </row>
    <row r="36" spans="2:33" ht="12.75">
      <c r="B36" s="139"/>
      <c r="C36" s="107"/>
      <c r="D36" s="75"/>
      <c r="F36" s="90"/>
      <c r="G36" s="127"/>
      <c r="H36" s="128"/>
      <c r="I36" s="116"/>
      <c r="K36" s="94" t="s">
        <v>1209</v>
      </c>
      <c r="L36" s="152"/>
      <c r="M36" s="223"/>
      <c r="N36" s="229"/>
      <c r="O36" s="107"/>
      <c r="P36" s="75"/>
      <c r="R36" s="90"/>
      <c r="S36" s="127"/>
      <c r="T36" s="128"/>
      <c r="U36" s="116"/>
      <c r="W36" s="94" t="s">
        <v>1209</v>
      </c>
      <c r="X36" s="152"/>
      <c r="Y36" s="158"/>
      <c r="Z36" s="158"/>
      <c r="AA36" s="158"/>
      <c r="AB36" s="158"/>
      <c r="AC36" s="158"/>
      <c r="AD36" s="158"/>
      <c r="AE36" s="158"/>
      <c r="AF36" s="155"/>
      <c r="AG36" s="49"/>
    </row>
    <row r="37" spans="2:33" s="8" customFormat="1" ht="12.75">
      <c r="B37" s="1967" t="s">
        <v>1215</v>
      </c>
      <c r="C37" s="1932"/>
      <c r="D37" s="1932"/>
      <c r="E37" s="1932"/>
      <c r="F37" s="1932"/>
      <c r="G37" s="1932"/>
      <c r="H37" s="1932"/>
      <c r="I37" s="1932"/>
      <c r="J37" s="1932"/>
      <c r="K37" s="1932"/>
      <c r="L37" s="1932"/>
      <c r="M37" s="1968"/>
      <c r="N37" s="1932" t="s">
        <v>31</v>
      </c>
      <c r="O37" s="1932"/>
      <c r="P37" s="1932"/>
      <c r="Q37" s="1932"/>
      <c r="R37" s="1932"/>
      <c r="S37" s="1932"/>
      <c r="T37" s="1932"/>
      <c r="U37" s="1932"/>
      <c r="V37" s="1932"/>
      <c r="W37" s="1932"/>
      <c r="X37" s="1932"/>
      <c r="Y37" s="25"/>
      <c r="Z37" s="25"/>
      <c r="AA37" s="25"/>
      <c r="AB37" s="25"/>
      <c r="AC37" s="25"/>
      <c r="AD37" s="25"/>
      <c r="AE37" s="25"/>
      <c r="AF37" s="8" t="s">
        <v>19</v>
      </c>
      <c r="AG37" s="47">
        <f>AG33</f>
        <v>8912420</v>
      </c>
    </row>
    <row r="38" spans="2:33" ht="12.75">
      <c r="B38" s="1860" t="s">
        <v>1260</v>
      </c>
      <c r="C38" s="1861"/>
      <c r="D38" s="1862"/>
      <c r="E38" s="44"/>
      <c r="F38" s="1956" t="s">
        <v>1261</v>
      </c>
      <c r="G38" s="1957"/>
      <c r="H38" s="1957"/>
      <c r="I38" s="1958"/>
      <c r="J38" s="44"/>
      <c r="K38" s="1973" t="s">
        <v>1259</v>
      </c>
      <c r="L38" s="1974"/>
      <c r="M38" s="1975"/>
      <c r="N38" s="1861" t="str">
        <f>N2</f>
        <v>Produits du compte de résultat</v>
      </c>
      <c r="O38" s="1861"/>
      <c r="P38" s="71"/>
      <c r="Q38" s="69"/>
      <c r="R38" s="1956" t="str">
        <f>R2</f>
        <v>Charges du compte de résultat</v>
      </c>
      <c r="S38" s="1957"/>
      <c r="T38" s="1957"/>
      <c r="U38" s="1958"/>
      <c r="V38" s="69"/>
      <c r="W38" s="1938" t="str">
        <f>W2</f>
        <v>Soldes intermédiaire de gestion du résultat</v>
      </c>
      <c r="X38" s="1962"/>
      <c r="Y38" s="25"/>
      <c r="AF38" s="13" t="s">
        <v>21</v>
      </c>
      <c r="AG38" s="53">
        <f>'R1'!J13</f>
        <v>0</v>
      </c>
    </row>
    <row r="39" spans="2:33" ht="12.75">
      <c r="B39" s="137"/>
      <c r="C39" s="118"/>
      <c r="D39" s="73"/>
      <c r="E39" s="44"/>
      <c r="F39" s="34"/>
      <c r="G39" s="35"/>
      <c r="H39" s="35"/>
      <c r="I39" s="36"/>
      <c r="J39" s="44"/>
      <c r="K39" s="509"/>
      <c r="L39" s="510" t="s">
        <v>29</v>
      </c>
      <c r="M39" s="508" t="s">
        <v>30</v>
      </c>
      <c r="N39" s="118"/>
      <c r="O39" s="118"/>
      <c r="P39" s="73"/>
      <c r="Q39" s="44"/>
      <c r="R39" s="34"/>
      <c r="S39" s="35"/>
      <c r="T39" s="35"/>
      <c r="U39" s="36"/>
      <c r="V39" s="44"/>
      <c r="W39" s="129"/>
      <c r="X39" s="134"/>
      <c r="Y39" s="25"/>
      <c r="AF39" s="13" t="s">
        <v>1170</v>
      </c>
      <c r="AG39" s="53">
        <f>-'R1'!D14</f>
        <v>0</v>
      </c>
    </row>
    <row r="40" spans="2:33" ht="12.75">
      <c r="B40" s="72" t="str">
        <f>'R1'!F32</f>
        <v>De participations</v>
      </c>
      <c r="C40" s="122"/>
      <c r="D40" s="73"/>
      <c r="E40" s="44"/>
      <c r="F40" s="34"/>
      <c r="G40" s="82"/>
      <c r="H40" s="82"/>
      <c r="I40" s="114"/>
      <c r="K40" s="504"/>
      <c r="L40" s="511"/>
      <c r="M40" s="503"/>
      <c r="N40" s="120" t="s">
        <v>1011</v>
      </c>
      <c r="O40" s="122"/>
      <c r="P40" s="73"/>
      <c r="Q40" s="44"/>
      <c r="R40" s="34"/>
      <c r="S40" s="135"/>
      <c r="T40" s="82"/>
      <c r="U40" s="114"/>
      <c r="W40" s="93"/>
      <c r="X40" s="117"/>
      <c r="Y40" s="25"/>
      <c r="AF40" s="13" t="s">
        <v>22</v>
      </c>
      <c r="AG40" s="53">
        <f>-'R1'!D15</f>
        <v>0</v>
      </c>
    </row>
    <row r="41" spans="2:33" ht="12.75">
      <c r="B41" s="72" t="str">
        <f>'R1'!F33</f>
        <v>D'autres valeurs mobilières et créances de l'actif immo</v>
      </c>
      <c r="C41" s="122"/>
      <c r="D41" s="73"/>
      <c r="E41" s="44"/>
      <c r="F41" s="34"/>
      <c r="G41" s="82" t="str">
        <f>'R1'!A32</f>
        <v>Dotations aux amortissements et aux provisions</v>
      </c>
      <c r="H41" s="84"/>
      <c r="I41" s="114"/>
      <c r="K41" s="504"/>
      <c r="L41" s="511"/>
      <c r="M41" s="503"/>
      <c r="N41" s="120" t="s">
        <v>1013</v>
      </c>
      <c r="O41" s="122"/>
      <c r="P41" s="73"/>
      <c r="Q41" s="44"/>
      <c r="R41" s="34"/>
      <c r="S41" s="82" t="s">
        <v>1010</v>
      </c>
      <c r="T41" s="84"/>
      <c r="U41" s="114"/>
      <c r="W41" s="93"/>
      <c r="X41" s="117"/>
      <c r="Y41" s="25"/>
      <c r="AF41" s="51" t="s">
        <v>1113</v>
      </c>
      <c r="AG41" s="52">
        <f>SUM(AG37:AG40)</f>
        <v>8912420</v>
      </c>
    </row>
    <row r="42" spans="2:25" ht="12.75">
      <c r="B42" s="72" t="str">
        <f>'R1'!F34</f>
        <v>autres intérêts et produits assimilés</v>
      </c>
      <c r="C42" s="122"/>
      <c r="D42" s="73"/>
      <c r="E42" s="44"/>
      <c r="F42" s="34"/>
      <c r="G42" s="82" t="str">
        <f>'R1'!A33</f>
        <v>Intérêt et charges assimilés</v>
      </c>
      <c r="H42" s="84"/>
      <c r="I42" s="114"/>
      <c r="K42" s="504"/>
      <c r="L42" s="511"/>
      <c r="M42" s="503"/>
      <c r="N42" s="120" t="s">
        <v>1014</v>
      </c>
      <c r="O42" s="122"/>
      <c r="P42" s="73"/>
      <c r="Q42" s="44"/>
      <c r="R42" s="34"/>
      <c r="S42" s="82" t="s">
        <v>1012</v>
      </c>
      <c r="T42" s="84"/>
      <c r="U42" s="114"/>
      <c r="W42" s="93"/>
      <c r="X42" s="117"/>
      <c r="Y42" s="25"/>
    </row>
    <row r="43" spans="2:33" ht="12.75">
      <c r="B43" s="72" t="str">
        <f>'R1'!F35</f>
        <v>Reprises sur provision et transfert de charges</v>
      </c>
      <c r="C43" s="122"/>
      <c r="D43" s="73"/>
      <c r="E43" s="44"/>
      <c r="F43" s="34"/>
      <c r="G43" s="82" t="str">
        <f>'R1'!A34</f>
        <v>Reprises aux amortissements et aux provision</v>
      </c>
      <c r="H43" s="84"/>
      <c r="I43" s="114"/>
      <c r="K43" s="504"/>
      <c r="L43" s="511"/>
      <c r="M43" s="503"/>
      <c r="N43" s="120" t="s">
        <v>1015</v>
      </c>
      <c r="O43" s="122"/>
      <c r="P43" s="73"/>
      <c r="Q43" s="44"/>
      <c r="R43" s="34"/>
      <c r="S43" s="82" t="s">
        <v>748</v>
      </c>
      <c r="T43" s="84"/>
      <c r="U43" s="114"/>
      <c r="W43" s="93"/>
      <c r="X43" s="117"/>
      <c r="Y43" s="25"/>
      <c r="AF43" s="13" t="s">
        <v>24</v>
      </c>
      <c r="AG43" s="53">
        <f>'R1'!J24-'R1'!D24</f>
        <v>8912420</v>
      </c>
    </row>
    <row r="44" spans="2:25" ht="12.75">
      <c r="B44" s="72" t="str">
        <f>'R1'!F36</f>
        <v>Différences positives de charge</v>
      </c>
      <c r="C44" s="122"/>
      <c r="D44" s="73"/>
      <c r="E44" s="44"/>
      <c r="F44" s="34"/>
      <c r="G44" s="82" t="str">
        <f>'R1'!F36</f>
        <v>Différences positives de charge</v>
      </c>
      <c r="H44" s="84"/>
      <c r="I44" s="114"/>
      <c r="K44" s="504"/>
      <c r="L44" s="511"/>
      <c r="M44" s="503"/>
      <c r="N44" s="120" t="s">
        <v>1016</v>
      </c>
      <c r="O44" s="122"/>
      <c r="P44" s="73"/>
      <c r="Q44" s="44"/>
      <c r="R44" s="34"/>
      <c r="S44" s="82" t="s">
        <v>1016</v>
      </c>
      <c r="T44" s="84"/>
      <c r="U44" s="114"/>
      <c r="W44" s="93"/>
      <c r="X44" s="117"/>
      <c r="Y44" s="25"/>
    </row>
    <row r="45" spans="2:33" ht="12.75">
      <c r="B45" s="72" t="s">
        <v>747</v>
      </c>
      <c r="C45" s="119"/>
      <c r="D45" s="73"/>
      <c r="E45" s="44"/>
      <c r="F45" s="34"/>
      <c r="G45" s="82" t="s">
        <v>751</v>
      </c>
      <c r="H45" s="84"/>
      <c r="I45" s="114"/>
      <c r="K45" s="504"/>
      <c r="L45" s="511"/>
      <c r="M45" s="503"/>
      <c r="N45" s="120" t="s">
        <v>747</v>
      </c>
      <c r="O45" s="122"/>
      <c r="P45" s="73"/>
      <c r="Q45" s="44"/>
      <c r="R45" s="34"/>
      <c r="S45" s="82" t="s">
        <v>751</v>
      </c>
      <c r="T45" s="84"/>
      <c r="U45" s="114"/>
      <c r="W45" s="93"/>
      <c r="X45" s="117"/>
      <c r="Y45" s="25"/>
      <c r="AF45" s="13" t="s">
        <v>25</v>
      </c>
      <c r="AG45" s="53">
        <f>'R1'!J38</f>
        <v>0</v>
      </c>
    </row>
    <row r="46" spans="2:33" ht="12.75">
      <c r="B46" s="72" t="s">
        <v>1225</v>
      </c>
      <c r="C46" s="121"/>
      <c r="D46" s="73"/>
      <c r="E46" s="47"/>
      <c r="F46" s="81"/>
      <c r="G46" s="82" t="s">
        <v>1227</v>
      </c>
      <c r="H46" s="87"/>
      <c r="I46" s="115"/>
      <c r="J46" s="47"/>
      <c r="K46" s="504"/>
      <c r="L46" s="511"/>
      <c r="M46" s="503"/>
      <c r="N46" s="120" t="s">
        <v>1225</v>
      </c>
      <c r="O46" s="121"/>
      <c r="P46" s="73"/>
      <c r="Q46" s="47"/>
      <c r="R46" s="81"/>
      <c r="S46" s="82" t="s">
        <v>1227</v>
      </c>
      <c r="T46" s="87"/>
      <c r="U46" s="115"/>
      <c r="V46" s="47"/>
      <c r="W46" s="93"/>
      <c r="X46" s="117"/>
      <c r="Y46" s="25"/>
      <c r="AF46" s="13" t="s">
        <v>1227</v>
      </c>
      <c r="AG46" s="53">
        <f>-'R1'!D38</f>
        <v>0</v>
      </c>
    </row>
    <row r="47" spans="2:33" ht="12.75">
      <c r="B47" s="72"/>
      <c r="C47" s="119"/>
      <c r="D47" s="73"/>
      <c r="E47" s="47"/>
      <c r="F47" s="81"/>
      <c r="G47" s="82"/>
      <c r="H47" s="84"/>
      <c r="I47" s="115"/>
      <c r="J47" s="47"/>
      <c r="K47" s="504"/>
      <c r="L47" s="511"/>
      <c r="M47" s="503"/>
      <c r="N47" s="120"/>
      <c r="O47" s="119"/>
      <c r="P47" s="73"/>
      <c r="Q47" s="47"/>
      <c r="R47" s="81"/>
      <c r="S47" s="82"/>
      <c r="T47" s="84"/>
      <c r="U47" s="115"/>
      <c r="V47" s="47"/>
      <c r="W47" s="93"/>
      <c r="X47" s="117"/>
      <c r="Y47" s="25"/>
      <c r="AF47" s="13" t="s">
        <v>26</v>
      </c>
      <c r="AG47" s="52">
        <f>AG45-AG46</f>
        <v>0</v>
      </c>
    </row>
    <row r="48" spans="2:25" ht="12.75">
      <c r="B48" s="72" t="s">
        <v>1209</v>
      </c>
      <c r="C48" s="119"/>
      <c r="D48" s="73"/>
      <c r="E48" s="47"/>
      <c r="F48" s="81"/>
      <c r="G48" s="82"/>
      <c r="H48" s="82"/>
      <c r="I48" s="115"/>
      <c r="J48" s="47"/>
      <c r="K48" s="504"/>
      <c r="L48" s="511"/>
      <c r="M48" s="503"/>
      <c r="N48" s="120" t="s">
        <v>1209</v>
      </c>
      <c r="O48" s="119"/>
      <c r="P48" s="73"/>
      <c r="Q48" s="47"/>
      <c r="R48" s="81"/>
      <c r="S48" s="82" t="s">
        <v>1254</v>
      </c>
      <c r="T48" s="84"/>
      <c r="U48" s="115"/>
      <c r="V48" s="47"/>
      <c r="W48" s="93"/>
      <c r="X48" s="117"/>
      <c r="Y48" s="25"/>
    </row>
    <row r="49" spans="2:33" ht="12.75">
      <c r="B49" s="72" t="s">
        <v>1225</v>
      </c>
      <c r="C49" s="119"/>
      <c r="D49" s="73"/>
      <c r="E49" s="47"/>
      <c r="F49" s="81"/>
      <c r="G49" s="82"/>
      <c r="H49" s="82"/>
      <c r="I49" s="115"/>
      <c r="J49" s="47"/>
      <c r="K49" s="504"/>
      <c r="L49" s="511"/>
      <c r="M49" s="503"/>
      <c r="N49" s="120" t="s">
        <v>1225</v>
      </c>
      <c r="O49" s="119"/>
      <c r="P49" s="73"/>
      <c r="Q49" s="47"/>
      <c r="R49" s="81"/>
      <c r="S49" s="82" t="s">
        <v>1227</v>
      </c>
      <c r="T49" s="84"/>
      <c r="U49" s="115"/>
      <c r="V49" s="47"/>
      <c r="W49" s="93"/>
      <c r="X49" s="117"/>
      <c r="Y49" s="25"/>
      <c r="AF49" s="13" t="s">
        <v>27</v>
      </c>
      <c r="AG49" s="53">
        <f>'R1'!J47</f>
        <v>0</v>
      </c>
    </row>
    <row r="50" spans="2:33" ht="12.75">
      <c r="B50" s="72" t="s">
        <v>1255</v>
      </c>
      <c r="C50" s="119"/>
      <c r="D50" s="73"/>
      <c r="E50" s="47"/>
      <c r="F50" s="81"/>
      <c r="G50" s="82" t="s">
        <v>1254</v>
      </c>
      <c r="H50" s="84"/>
      <c r="I50" s="115"/>
      <c r="J50" s="47"/>
      <c r="K50" s="504"/>
      <c r="L50" s="511"/>
      <c r="M50" s="503"/>
      <c r="N50" s="120" t="s">
        <v>1255</v>
      </c>
      <c r="O50" s="119"/>
      <c r="P50" s="73"/>
      <c r="Q50" s="47"/>
      <c r="R50" s="81"/>
      <c r="S50" s="82"/>
      <c r="T50" s="82"/>
      <c r="U50" s="115"/>
      <c r="V50" s="47"/>
      <c r="W50" s="93"/>
      <c r="X50" s="117"/>
      <c r="Y50" s="25"/>
      <c r="AF50" s="13" t="s">
        <v>1226</v>
      </c>
      <c r="AG50" s="53">
        <f>-'R1'!D47</f>
        <v>0</v>
      </c>
    </row>
    <row r="51" spans="2:33" ht="12.75">
      <c r="B51" s="72" t="s">
        <v>1256</v>
      </c>
      <c r="C51" s="119"/>
      <c r="D51" s="73"/>
      <c r="E51" s="47"/>
      <c r="F51" s="81"/>
      <c r="G51" s="82" t="s">
        <v>1227</v>
      </c>
      <c r="H51" s="84"/>
      <c r="I51" s="115"/>
      <c r="J51" s="47"/>
      <c r="K51" s="504" t="s">
        <v>410</v>
      </c>
      <c r="L51" s="511"/>
      <c r="M51" s="503"/>
      <c r="N51" s="120" t="s">
        <v>1256</v>
      </c>
      <c r="O51" s="119"/>
      <c r="P51" s="73"/>
      <c r="Q51" s="47"/>
      <c r="R51" s="81"/>
      <c r="S51" s="82"/>
      <c r="T51" s="83"/>
      <c r="U51" s="115"/>
      <c r="V51" s="47"/>
      <c r="W51" s="93"/>
      <c r="X51" s="117"/>
      <c r="Y51" s="25"/>
      <c r="AF51" s="13" t="s">
        <v>28</v>
      </c>
      <c r="AG51" s="52">
        <f>SUM(AG49:AG50)</f>
        <v>0</v>
      </c>
    </row>
    <row r="52" spans="2:25" ht="12.75">
      <c r="B52" s="72"/>
      <c r="C52" s="121"/>
      <c r="D52" s="74"/>
      <c r="E52" s="47"/>
      <c r="F52" s="81"/>
      <c r="G52" s="82"/>
      <c r="H52" s="87"/>
      <c r="I52" s="115"/>
      <c r="J52" s="47"/>
      <c r="K52" s="504" t="s">
        <v>1230</v>
      </c>
      <c r="L52" s="511"/>
      <c r="M52" s="505"/>
      <c r="N52" s="120"/>
      <c r="O52" s="121"/>
      <c r="P52" s="74"/>
      <c r="Q52" s="47"/>
      <c r="R52" s="81"/>
      <c r="S52" s="82"/>
      <c r="T52" s="84"/>
      <c r="U52" s="115"/>
      <c r="V52" s="47"/>
      <c r="W52" s="93" t="s">
        <v>1230</v>
      </c>
      <c r="X52" s="117"/>
      <c r="Y52" s="25"/>
    </row>
    <row r="53" spans="2:33" ht="12.75">
      <c r="B53" s="72"/>
      <c r="C53" s="119"/>
      <c r="D53" s="73"/>
      <c r="E53" s="47"/>
      <c r="F53" s="81"/>
      <c r="G53" s="82"/>
      <c r="H53" s="82"/>
      <c r="I53" s="115"/>
      <c r="J53" s="47"/>
      <c r="K53" s="504"/>
      <c r="L53" s="511"/>
      <c r="M53" s="503"/>
      <c r="N53" s="120"/>
      <c r="O53" s="119"/>
      <c r="P53" s="73"/>
      <c r="Q53" s="47"/>
      <c r="R53" s="81"/>
      <c r="S53" s="82"/>
      <c r="T53" s="82"/>
      <c r="U53" s="115"/>
      <c r="V53" s="47"/>
      <c r="W53" s="93"/>
      <c r="X53" s="117"/>
      <c r="Y53" s="25"/>
      <c r="AF53" s="13" t="str">
        <f>AF43</f>
        <v>Résultat d'exploitaion</v>
      </c>
      <c r="AG53" s="53">
        <f>AG41</f>
        <v>8912420</v>
      </c>
    </row>
    <row r="54" spans="2:33" ht="12.75">
      <c r="B54" s="72"/>
      <c r="C54" s="119"/>
      <c r="D54" s="73"/>
      <c r="E54" s="47"/>
      <c r="F54" s="81"/>
      <c r="G54" s="82"/>
      <c r="H54" s="84"/>
      <c r="I54" s="115"/>
      <c r="J54" s="47"/>
      <c r="K54" s="504"/>
      <c r="L54" s="511"/>
      <c r="M54" s="503"/>
      <c r="N54" s="120" t="s">
        <v>1020</v>
      </c>
      <c r="O54" s="119"/>
      <c r="P54" s="73"/>
      <c r="Q54" s="47"/>
      <c r="R54" s="81"/>
      <c r="S54" s="82"/>
      <c r="T54" s="86"/>
      <c r="U54" s="115"/>
      <c r="V54" s="47"/>
      <c r="W54" s="93"/>
      <c r="X54" s="117"/>
      <c r="Y54" s="25"/>
      <c r="AF54" s="13" t="str">
        <f>AF47</f>
        <v>Solde du résultat financier</v>
      </c>
      <c r="AG54" s="53">
        <f>AG47</f>
        <v>0</v>
      </c>
    </row>
    <row r="55" spans="2:33" ht="12.75">
      <c r="B55" s="72" t="str">
        <f>'R1'!A44</f>
        <v>Sur opération de gestion</v>
      </c>
      <c r="C55" s="122"/>
      <c r="D55" s="73"/>
      <c r="E55" s="47"/>
      <c r="F55" s="81"/>
      <c r="G55" s="82" t="str">
        <f>'R1'!A44</f>
        <v>Sur opération de gestion</v>
      </c>
      <c r="H55" s="86"/>
      <c r="I55" s="115"/>
      <c r="J55" s="47"/>
      <c r="K55" s="504"/>
      <c r="L55" s="511"/>
      <c r="M55" s="503"/>
      <c r="N55" s="120" t="s">
        <v>1022</v>
      </c>
      <c r="O55" s="122"/>
      <c r="P55" s="73"/>
      <c r="Q55" s="47"/>
      <c r="R55" s="81"/>
      <c r="S55" s="82" t="s">
        <v>1020</v>
      </c>
      <c r="T55" s="86"/>
      <c r="U55" s="115"/>
      <c r="V55" s="47"/>
      <c r="W55" s="93"/>
      <c r="X55" s="117"/>
      <c r="Y55" s="25"/>
      <c r="AF55" s="13" t="str">
        <f>AF51</f>
        <v>Solde du résultat exeptionnel</v>
      </c>
      <c r="AG55" s="53">
        <f>AG51</f>
        <v>0</v>
      </c>
    </row>
    <row r="56" spans="2:33" ht="12.75">
      <c r="B56" s="72" t="str">
        <f>'R1'!A45</f>
        <v>Sur opération en capital</v>
      </c>
      <c r="C56" s="122"/>
      <c r="D56" s="73"/>
      <c r="E56" s="47"/>
      <c r="F56" s="81"/>
      <c r="G56" s="82" t="str">
        <f>'R1'!A45</f>
        <v>Sur opération en capital</v>
      </c>
      <c r="H56" s="86"/>
      <c r="I56" s="115"/>
      <c r="J56" s="47"/>
      <c r="K56" s="504"/>
      <c r="L56" s="511"/>
      <c r="M56" s="503"/>
      <c r="N56" s="120" t="s">
        <v>1024</v>
      </c>
      <c r="O56" s="122"/>
      <c r="P56" s="73"/>
      <c r="Q56" s="47"/>
      <c r="R56" s="81"/>
      <c r="S56" s="82" t="s">
        <v>1022</v>
      </c>
      <c r="T56" s="86"/>
      <c r="U56" s="115"/>
      <c r="V56" s="47"/>
      <c r="W56" s="93"/>
      <c r="X56" s="117"/>
      <c r="Y56" s="25"/>
      <c r="AF56" s="13" t="s">
        <v>1232</v>
      </c>
      <c r="AG56" s="53">
        <f>AG53+AG54+AG55</f>
        <v>8912420</v>
      </c>
    </row>
    <row r="57" spans="2:25" ht="12.75">
      <c r="B57" s="72" t="str">
        <f>'R1'!A46</f>
        <v>Dotation aux ammortissement et aux provisions</v>
      </c>
      <c r="C57" s="122"/>
      <c r="D57" s="73"/>
      <c r="E57" s="47"/>
      <c r="F57" s="81"/>
      <c r="G57" s="82" t="str">
        <f>'R1'!A46</f>
        <v>Dotation aux ammortissement et aux provisions</v>
      </c>
      <c r="H57" s="126"/>
      <c r="I57" s="115"/>
      <c r="J57" s="47"/>
      <c r="K57" s="504"/>
      <c r="L57" s="511"/>
      <c r="M57" s="503"/>
      <c r="N57" s="120" t="s">
        <v>1229</v>
      </c>
      <c r="O57" s="122"/>
      <c r="P57" s="73"/>
      <c r="Q57" s="47"/>
      <c r="R57" s="81"/>
      <c r="S57" s="82" t="s">
        <v>1024</v>
      </c>
      <c r="T57" s="86"/>
      <c r="U57" s="115"/>
      <c r="V57" s="47"/>
      <c r="W57" s="93"/>
      <c r="X57" s="117"/>
      <c r="Y57" s="25"/>
    </row>
    <row r="58" spans="2:25" ht="12.75">
      <c r="B58" s="72" t="s">
        <v>1229</v>
      </c>
      <c r="C58" s="119"/>
      <c r="D58" s="73"/>
      <c r="F58" s="85"/>
      <c r="G58" s="82" t="s">
        <v>1228</v>
      </c>
      <c r="H58" s="84"/>
      <c r="I58" s="115"/>
      <c r="J58" s="47"/>
      <c r="K58" s="504" t="s">
        <v>1231</v>
      </c>
      <c r="L58" s="511"/>
      <c r="M58" s="505"/>
      <c r="N58" s="120" t="s">
        <v>1229</v>
      </c>
      <c r="O58" s="119"/>
      <c r="P58" s="73"/>
      <c r="R58" s="85"/>
      <c r="S58" s="82" t="s">
        <v>1228</v>
      </c>
      <c r="T58" s="84"/>
      <c r="U58" s="115"/>
      <c r="V58" s="47"/>
      <c r="W58" s="93" t="s">
        <v>1231</v>
      </c>
      <c r="X58" s="117"/>
      <c r="Y58" s="25"/>
    </row>
    <row r="59" spans="2:25" ht="12.75">
      <c r="B59" s="72"/>
      <c r="C59" s="119"/>
      <c r="D59" s="73"/>
      <c r="E59" s="47"/>
      <c r="F59" s="81"/>
      <c r="G59" s="82"/>
      <c r="H59" s="84"/>
      <c r="I59" s="115"/>
      <c r="J59" s="47"/>
      <c r="K59" s="504"/>
      <c r="L59" s="511"/>
      <c r="M59" s="503"/>
      <c r="N59" s="120"/>
      <c r="O59" s="119"/>
      <c r="P59" s="73"/>
      <c r="Q59" s="47"/>
      <c r="R59" s="81"/>
      <c r="S59" s="82"/>
      <c r="T59" s="84"/>
      <c r="U59" s="115"/>
      <c r="V59" s="47"/>
      <c r="W59" s="93"/>
      <c r="X59" s="117"/>
      <c r="Y59" s="25"/>
    </row>
    <row r="60" spans="2:25" ht="12.75">
      <c r="B60" s="72"/>
      <c r="C60" s="119"/>
      <c r="D60" s="74"/>
      <c r="E60" s="47"/>
      <c r="F60" s="81"/>
      <c r="G60" s="82"/>
      <c r="H60" s="82"/>
      <c r="I60" s="114"/>
      <c r="K60" s="504"/>
      <c r="L60" s="511"/>
      <c r="M60" s="503"/>
      <c r="N60" s="120" t="s">
        <v>1232</v>
      </c>
      <c r="O60" s="122"/>
      <c r="P60" s="74"/>
      <c r="Q60" s="47"/>
      <c r="R60" s="81"/>
      <c r="S60" s="82" t="s">
        <v>1233</v>
      </c>
      <c r="T60" s="86"/>
      <c r="U60" s="114"/>
      <c r="W60" s="93"/>
      <c r="X60" s="117"/>
      <c r="Y60" s="25"/>
    </row>
    <row r="61" spans="2:25" ht="12.75">
      <c r="B61" s="72" t="s">
        <v>1232</v>
      </c>
      <c r="C61" s="122"/>
      <c r="D61" s="73"/>
      <c r="E61" s="47"/>
      <c r="F61" s="81"/>
      <c r="G61" s="82" t="s">
        <v>1233</v>
      </c>
      <c r="H61" s="86"/>
      <c r="I61" s="115"/>
      <c r="J61" s="47"/>
      <c r="K61" s="504"/>
      <c r="L61" s="511"/>
      <c r="M61" s="503"/>
      <c r="N61" s="120" t="s">
        <v>1231</v>
      </c>
      <c r="O61" s="125"/>
      <c r="P61" s="73"/>
      <c r="Q61" s="47"/>
      <c r="R61" s="81"/>
      <c r="S61" s="82" t="s">
        <v>1234</v>
      </c>
      <c r="T61" s="126"/>
      <c r="U61" s="115"/>
      <c r="V61" s="47"/>
      <c r="W61" s="93"/>
      <c r="X61" s="117"/>
      <c r="Y61" s="25"/>
    </row>
    <row r="62" spans="2:25" ht="12.75">
      <c r="B62" s="72" t="s">
        <v>1231</v>
      </c>
      <c r="C62" s="125"/>
      <c r="D62" s="73"/>
      <c r="F62" s="85"/>
      <c r="G62" s="82" t="s">
        <v>1234</v>
      </c>
      <c r="H62" s="126"/>
      <c r="I62" s="114"/>
      <c r="K62" s="504"/>
      <c r="L62" s="511"/>
      <c r="M62" s="503"/>
      <c r="N62" s="120"/>
      <c r="O62" s="119"/>
      <c r="P62" s="73"/>
      <c r="R62" s="85"/>
      <c r="S62" s="82"/>
      <c r="T62" s="84"/>
      <c r="U62" s="114"/>
      <c r="W62" s="93" t="s">
        <v>6</v>
      </c>
      <c r="X62" s="117"/>
      <c r="Y62" s="25"/>
    </row>
    <row r="63" spans="2:25" ht="12.75">
      <c r="B63" s="72"/>
      <c r="C63" s="119"/>
      <c r="D63" s="73"/>
      <c r="E63" s="47"/>
      <c r="F63" s="81"/>
      <c r="G63" s="82"/>
      <c r="H63" s="82"/>
      <c r="I63" s="114"/>
      <c r="K63" s="504" t="s">
        <v>6</v>
      </c>
      <c r="L63" s="511"/>
      <c r="M63" s="505"/>
      <c r="N63" s="120"/>
      <c r="O63" s="119"/>
      <c r="P63" s="73"/>
      <c r="Q63" s="47"/>
      <c r="R63" s="81"/>
      <c r="S63" s="82"/>
      <c r="T63" s="82"/>
      <c r="U63" s="114"/>
      <c r="W63" s="93"/>
      <c r="X63" s="117"/>
      <c r="Y63" s="25"/>
    </row>
    <row r="64" spans="2:25" ht="12.75">
      <c r="B64" s="72"/>
      <c r="C64" s="119"/>
      <c r="D64" s="73"/>
      <c r="E64" s="47"/>
      <c r="F64" s="81"/>
      <c r="G64" s="82"/>
      <c r="H64" s="82"/>
      <c r="I64" s="114"/>
      <c r="K64" s="504"/>
      <c r="L64" s="511"/>
      <c r="M64" s="503"/>
      <c r="N64" s="120"/>
      <c r="O64" s="119"/>
      <c r="P64" s="73"/>
      <c r="Q64" s="47"/>
      <c r="R64" s="81"/>
      <c r="S64" s="82"/>
      <c r="T64" s="82"/>
      <c r="U64" s="114"/>
      <c r="W64" s="93"/>
      <c r="X64" s="117"/>
      <c r="Y64" s="25"/>
    </row>
    <row r="65" spans="2:25" ht="12.75">
      <c r="B65" s="72" t="s">
        <v>70</v>
      </c>
      <c r="C65" s="119"/>
      <c r="D65" s="73"/>
      <c r="E65" s="47"/>
      <c r="F65" s="81"/>
      <c r="G65" s="82" t="s">
        <v>71</v>
      </c>
      <c r="H65" s="82"/>
      <c r="I65" s="114"/>
      <c r="K65" s="504"/>
      <c r="L65" s="511"/>
      <c r="M65" s="503"/>
      <c r="N65" s="120"/>
      <c r="O65" s="119"/>
      <c r="P65" s="73"/>
      <c r="Q65" s="47"/>
      <c r="R65" s="81"/>
      <c r="S65" s="82"/>
      <c r="T65" s="82"/>
      <c r="U65" s="114"/>
      <c r="W65" s="93"/>
      <c r="X65" s="117"/>
      <c r="Y65" s="25"/>
    </row>
    <row r="66" spans="2:25" ht="12.75">
      <c r="B66" s="72" t="s">
        <v>995</v>
      </c>
      <c r="C66" s="119"/>
      <c r="D66" s="73"/>
      <c r="E66" s="47"/>
      <c r="F66" s="81"/>
      <c r="G66" s="82" t="s">
        <v>68</v>
      </c>
      <c r="H66" s="84"/>
      <c r="I66" s="114"/>
      <c r="K66" s="504"/>
      <c r="L66" s="511"/>
      <c r="M66" s="503"/>
      <c r="N66" s="120"/>
      <c r="O66" s="119"/>
      <c r="P66" s="73"/>
      <c r="Q66" s="47"/>
      <c r="R66" s="81"/>
      <c r="S66" s="82"/>
      <c r="T66" s="82"/>
      <c r="U66" s="114"/>
      <c r="W66" s="93"/>
      <c r="X66" s="117"/>
      <c r="Y66" s="25"/>
    </row>
    <row r="67" spans="2:25" ht="12.75">
      <c r="B67" s="72" t="s">
        <v>1181</v>
      </c>
      <c r="C67" s="119"/>
      <c r="D67" s="73"/>
      <c r="E67" s="47"/>
      <c r="F67" s="81"/>
      <c r="G67" s="82" t="s">
        <v>69</v>
      </c>
      <c r="H67" s="84"/>
      <c r="I67" s="114"/>
      <c r="K67" s="504"/>
      <c r="L67" s="511"/>
      <c r="M67" s="503"/>
      <c r="N67" s="120"/>
      <c r="O67" s="119"/>
      <c r="P67" s="73"/>
      <c r="Q67" s="47"/>
      <c r="R67" s="81"/>
      <c r="S67" s="82"/>
      <c r="T67" s="82"/>
      <c r="U67" s="114"/>
      <c r="W67" s="93"/>
      <c r="X67" s="117"/>
      <c r="Y67" s="25"/>
    </row>
    <row r="68" spans="2:25" ht="12.75">
      <c r="B68" s="72"/>
      <c r="C68" s="119"/>
      <c r="D68" s="73"/>
      <c r="E68" s="47"/>
      <c r="F68" s="81"/>
      <c r="G68" s="82"/>
      <c r="H68" s="84"/>
      <c r="I68" s="114"/>
      <c r="K68" s="504"/>
      <c r="L68" s="511"/>
      <c r="M68" s="503"/>
      <c r="N68" s="120"/>
      <c r="O68" s="119"/>
      <c r="P68" s="73"/>
      <c r="Q68" s="47"/>
      <c r="R68" s="81"/>
      <c r="S68" s="82"/>
      <c r="T68" s="82"/>
      <c r="U68" s="114"/>
      <c r="W68" s="93"/>
      <c r="X68" s="117"/>
      <c r="Y68" s="25"/>
    </row>
    <row r="69" spans="2:25" ht="12.75">
      <c r="B69" s="72"/>
      <c r="C69" s="119"/>
      <c r="D69" s="74"/>
      <c r="F69" s="85"/>
      <c r="G69" s="82"/>
      <c r="H69" s="82"/>
      <c r="I69" s="114"/>
      <c r="K69" s="504"/>
      <c r="L69" s="511"/>
      <c r="M69" s="503"/>
      <c r="N69" s="120"/>
      <c r="O69" s="119"/>
      <c r="P69" s="73"/>
      <c r="Q69" s="47"/>
      <c r="R69" s="81"/>
      <c r="S69" s="82"/>
      <c r="T69" s="82"/>
      <c r="U69" s="114"/>
      <c r="W69" s="93"/>
      <c r="X69" s="117"/>
      <c r="Y69" s="25"/>
    </row>
    <row r="70" spans="2:25" ht="12.75">
      <c r="B70" s="72" t="s">
        <v>455</v>
      </c>
      <c r="C70" s="119"/>
      <c r="D70" s="73"/>
      <c r="E70" s="47"/>
      <c r="F70" s="81"/>
      <c r="G70" s="82" t="s">
        <v>72</v>
      </c>
      <c r="H70" s="84"/>
      <c r="I70" s="114"/>
      <c r="K70" s="504" t="s">
        <v>73</v>
      </c>
      <c r="L70" s="511"/>
      <c r="M70" s="503"/>
      <c r="N70" s="120"/>
      <c r="O70" s="119"/>
      <c r="P70" s="73"/>
      <c r="Q70" s="47"/>
      <c r="R70" s="81"/>
      <c r="S70" s="82"/>
      <c r="T70" s="82"/>
      <c r="U70" s="114"/>
      <c r="W70" s="93"/>
      <c r="X70" s="117"/>
      <c r="Y70" s="25"/>
    </row>
    <row r="71" spans="2:25" ht="12.75">
      <c r="B71" s="72"/>
      <c r="C71" s="119"/>
      <c r="D71" s="73"/>
      <c r="E71" s="47"/>
      <c r="F71" s="81"/>
      <c r="G71" s="82"/>
      <c r="H71" s="82"/>
      <c r="I71" s="114"/>
      <c r="K71" s="504"/>
      <c r="L71" s="511"/>
      <c r="M71" s="503"/>
      <c r="N71" s="120"/>
      <c r="O71" s="119"/>
      <c r="P71" s="73"/>
      <c r="Q71" s="47"/>
      <c r="R71" s="81"/>
      <c r="S71" s="82"/>
      <c r="T71" s="82"/>
      <c r="U71" s="114"/>
      <c r="W71" s="93"/>
      <c r="X71" s="117"/>
      <c r="Y71" s="25"/>
    </row>
    <row r="72" spans="2:25" ht="12.75">
      <c r="B72" s="77" t="s">
        <v>77</v>
      </c>
      <c r="C72" s="123"/>
      <c r="D72" s="75"/>
      <c r="E72" s="47"/>
      <c r="F72" s="136"/>
      <c r="G72" s="91" t="s">
        <v>78</v>
      </c>
      <c r="H72" s="83"/>
      <c r="I72" s="116"/>
      <c r="K72" s="506"/>
      <c r="L72" s="512"/>
      <c r="M72" s="507"/>
      <c r="N72" s="120"/>
      <c r="O72" s="119"/>
      <c r="P72" s="73"/>
      <c r="Q72" s="47"/>
      <c r="R72" s="81"/>
      <c r="S72" s="82"/>
      <c r="T72" s="82"/>
      <c r="U72" s="114"/>
      <c r="W72" s="93"/>
      <c r="X72" s="117"/>
      <c r="Y72" s="25"/>
    </row>
    <row r="73" spans="2:25" ht="12" customHeight="1">
      <c r="B73" s="1967" t="s">
        <v>1215</v>
      </c>
      <c r="C73" s="1932"/>
      <c r="D73" s="1932"/>
      <c r="E73" s="1932"/>
      <c r="F73" s="1932"/>
      <c r="G73" s="1932"/>
      <c r="H73" s="1932"/>
      <c r="I73" s="1932"/>
      <c r="J73" s="1932"/>
      <c r="K73" s="1932"/>
      <c r="L73" s="1932"/>
      <c r="M73" s="226"/>
      <c r="N73" s="1932" t="s">
        <v>31</v>
      </c>
      <c r="O73" s="1932"/>
      <c r="P73" s="1932"/>
      <c r="Q73" s="1932"/>
      <c r="R73" s="1932"/>
      <c r="S73" s="1932"/>
      <c r="T73" s="1932"/>
      <c r="U73" s="1932"/>
      <c r="V73" s="1932"/>
      <c r="W73" s="1932"/>
      <c r="X73" s="1932"/>
      <c r="Y73" s="25"/>
    </row>
    <row r="74" spans="2:25" ht="12" customHeight="1">
      <c r="B74" s="1940" t="s">
        <v>1235</v>
      </c>
      <c r="C74" s="1941"/>
      <c r="D74" s="1941"/>
      <c r="E74" s="1941"/>
      <c r="F74" s="1941"/>
      <c r="G74" s="1941"/>
      <c r="H74" s="1941"/>
      <c r="I74" s="1941"/>
      <c r="J74" s="1941"/>
      <c r="K74" s="1941"/>
      <c r="L74" s="1941"/>
      <c r="M74" s="221"/>
      <c r="N74" s="1941" t="s">
        <v>1235</v>
      </c>
      <c r="O74" s="1941"/>
      <c r="P74" s="1941"/>
      <c r="Q74" s="1941"/>
      <c r="R74" s="1941"/>
      <c r="S74" s="1941"/>
      <c r="T74" s="1941"/>
      <c r="U74" s="1941"/>
      <c r="V74" s="1941"/>
      <c r="W74" s="1941"/>
      <c r="X74" s="1941"/>
      <c r="Y74" s="25"/>
    </row>
    <row r="75" spans="2:25" ht="12.75">
      <c r="B75" s="1942" t="s">
        <v>1262</v>
      </c>
      <c r="C75" s="1943"/>
      <c r="D75" s="1944"/>
      <c r="E75" s="52"/>
      <c r="F75" s="1945" t="s">
        <v>1263</v>
      </c>
      <c r="G75" s="1946"/>
      <c r="H75" s="1946"/>
      <c r="I75" s="1947"/>
      <c r="J75" s="52"/>
      <c r="K75" s="1948" t="s">
        <v>1264</v>
      </c>
      <c r="L75" s="1949"/>
      <c r="M75" s="222"/>
      <c r="N75" s="1943" t="s">
        <v>1262</v>
      </c>
      <c r="O75" s="1943"/>
      <c r="P75" s="1944"/>
      <c r="Q75" s="47"/>
      <c r="R75" s="1945" t="s">
        <v>1263</v>
      </c>
      <c r="S75" s="1946"/>
      <c r="T75" s="1946"/>
      <c r="U75" s="1947"/>
      <c r="V75" s="47"/>
      <c r="W75" s="1948" t="s">
        <v>1264</v>
      </c>
      <c r="X75" s="1963"/>
      <c r="Y75" s="25"/>
    </row>
    <row r="76" spans="2:25" ht="12.75">
      <c r="B76" s="72"/>
      <c r="C76" s="119"/>
      <c r="D76" s="73"/>
      <c r="E76" s="47"/>
      <c r="F76" s="81"/>
      <c r="G76" s="82"/>
      <c r="H76" s="82"/>
      <c r="I76" s="114"/>
      <c r="K76" s="93"/>
      <c r="L76" s="234" t="s">
        <v>29</v>
      </c>
      <c r="M76" s="222" t="s">
        <v>30</v>
      </c>
      <c r="N76" s="120"/>
      <c r="O76" s="119"/>
      <c r="P76" s="73"/>
      <c r="Q76" s="47"/>
      <c r="R76" s="81"/>
      <c r="S76" s="82"/>
      <c r="T76" s="82"/>
      <c r="U76" s="114"/>
      <c r="W76" s="93"/>
      <c r="X76" s="117"/>
      <c r="Y76" s="25"/>
    </row>
    <row r="77" spans="2:25" ht="12.75" customHeight="1">
      <c r="B77" s="72" t="s">
        <v>1236</v>
      </c>
      <c r="C77" s="119"/>
      <c r="D77" s="73"/>
      <c r="E77" s="47"/>
      <c r="F77" s="81"/>
      <c r="G77" s="82" t="s">
        <v>1237</v>
      </c>
      <c r="H77" s="84">
        <f>'R1'!G68</f>
        <v>0</v>
      </c>
      <c r="I77" s="114"/>
      <c r="K77" s="133" t="s">
        <v>1250</v>
      </c>
      <c r="L77" s="224">
        <f>C77-H77</f>
        <v>0</v>
      </c>
      <c r="M77" s="222"/>
      <c r="N77" s="120" t="s">
        <v>1236</v>
      </c>
      <c r="O77" s="119"/>
      <c r="P77" s="73"/>
      <c r="Q77" s="47"/>
      <c r="R77" s="81"/>
      <c r="S77" s="82" t="s">
        <v>1237</v>
      </c>
      <c r="T77" s="84">
        <f>'R1'!S68</f>
        <v>0</v>
      </c>
      <c r="U77" s="114"/>
      <c r="W77" s="133" t="s">
        <v>1250</v>
      </c>
      <c r="X77" s="117">
        <f>O77-T77</f>
        <v>0</v>
      </c>
      <c r="Y77" s="25"/>
    </row>
    <row r="78" spans="2:25" ht="12.75">
      <c r="B78" s="1933"/>
      <c r="C78" s="1934"/>
      <c r="D78" s="71"/>
      <c r="E78" s="44"/>
      <c r="F78" s="1935"/>
      <c r="G78" s="1936"/>
      <c r="H78" s="1936"/>
      <c r="I78" s="1937"/>
      <c r="J78" s="44"/>
      <c r="K78" s="1938"/>
      <c r="L78" s="1939"/>
      <c r="M78" s="222"/>
      <c r="N78" s="1934"/>
      <c r="O78" s="1934"/>
      <c r="P78" s="71"/>
      <c r="Q78" s="44"/>
      <c r="R78" s="1935"/>
      <c r="S78" s="1936"/>
      <c r="T78" s="1936"/>
      <c r="U78" s="1937"/>
      <c r="V78" s="44"/>
      <c r="W78" s="1938"/>
      <c r="X78" s="1962"/>
      <c r="Y78" s="25"/>
    </row>
    <row r="79" spans="2:25" ht="12.75">
      <c r="B79" s="113"/>
      <c r="C79" s="119"/>
      <c r="D79" s="73"/>
      <c r="E79" s="44"/>
      <c r="F79" s="34"/>
      <c r="G79" s="82"/>
      <c r="H79" s="84"/>
      <c r="I79" s="114"/>
      <c r="K79" s="93"/>
      <c r="L79" s="224"/>
      <c r="M79" s="222"/>
      <c r="N79" s="230"/>
      <c r="O79" s="119"/>
      <c r="P79" s="73"/>
      <c r="Q79" s="44"/>
      <c r="R79" s="34"/>
      <c r="S79" s="82"/>
      <c r="T79" s="84"/>
      <c r="U79" s="114"/>
      <c r="W79" s="93"/>
      <c r="X79" s="117"/>
      <c r="Y79" s="25"/>
    </row>
    <row r="80" spans="2:25" ht="12.75">
      <c r="B80" s="1919" t="s">
        <v>743</v>
      </c>
      <c r="C80" s="1920"/>
      <c r="D80" s="1920"/>
      <c r="E80" s="1920"/>
      <c r="F80" s="1920"/>
      <c r="G80" s="1920"/>
      <c r="H80" s="1920"/>
      <c r="I80" s="1920"/>
      <c r="J80" s="1920"/>
      <c r="K80" s="1920"/>
      <c r="L80" s="1921"/>
      <c r="M80" s="222"/>
      <c r="N80" s="1920" t="s">
        <v>743</v>
      </c>
      <c r="O80" s="1920"/>
      <c r="P80" s="1920"/>
      <c r="Q80" s="1920"/>
      <c r="R80" s="1920"/>
      <c r="S80" s="1920"/>
      <c r="T80" s="1920"/>
      <c r="U80" s="1920"/>
      <c r="V80" s="1920"/>
      <c r="W80" s="1920"/>
      <c r="X80" s="1920"/>
      <c r="Y80" s="25"/>
    </row>
    <row r="81" spans="2:25" ht="12.75">
      <c r="B81" s="70"/>
      <c r="C81" s="121"/>
      <c r="D81" s="141"/>
      <c r="E81" s="47"/>
      <c r="F81" s="81"/>
      <c r="G81" s="82"/>
      <c r="H81" s="84"/>
      <c r="I81" s="115"/>
      <c r="J81" s="47"/>
      <c r="K81" s="93"/>
      <c r="L81" s="224"/>
      <c r="M81" s="222"/>
      <c r="N81" s="228"/>
      <c r="O81" s="121"/>
      <c r="P81" s="141"/>
      <c r="Q81" s="47"/>
      <c r="R81" s="81"/>
      <c r="S81" s="82"/>
      <c r="T81" s="84"/>
      <c r="U81" s="115"/>
      <c r="V81" s="47"/>
      <c r="W81" s="93"/>
      <c r="X81" s="117"/>
      <c r="Y81" s="25"/>
    </row>
    <row r="82" spans="2:25" ht="12.75">
      <c r="B82" s="72" t="s">
        <v>1210</v>
      </c>
      <c r="C82" s="140"/>
      <c r="D82" s="73"/>
      <c r="E82" s="47"/>
      <c r="F82" s="81"/>
      <c r="G82" s="82"/>
      <c r="H82" s="82"/>
      <c r="I82" s="115"/>
      <c r="J82" s="47"/>
      <c r="K82" s="93"/>
      <c r="L82" s="224"/>
      <c r="M82" s="222"/>
      <c r="N82" s="120" t="s">
        <v>1210</v>
      </c>
      <c r="O82" s="140"/>
      <c r="P82" s="73"/>
      <c r="Q82" s="47"/>
      <c r="R82" s="81"/>
      <c r="S82" s="82"/>
      <c r="T82" s="82"/>
      <c r="U82" s="115"/>
      <c r="V82" s="47"/>
      <c r="W82" s="93"/>
      <c r="X82" s="117"/>
      <c r="Y82" s="25"/>
    </row>
    <row r="83" spans="2:25" ht="12.75">
      <c r="B83" s="72" t="s">
        <v>746</v>
      </c>
      <c r="C83" s="140"/>
      <c r="D83" s="73"/>
      <c r="F83" s="85"/>
      <c r="G83" s="82" t="s">
        <v>1251</v>
      </c>
      <c r="H83" s="231"/>
      <c r="I83" s="115"/>
      <c r="J83" s="47"/>
      <c r="K83" s="93" t="s">
        <v>757</v>
      </c>
      <c r="L83" s="224"/>
      <c r="M83" s="222"/>
      <c r="N83" s="120" t="s">
        <v>746</v>
      </c>
      <c r="O83" s="140"/>
      <c r="P83" s="73"/>
      <c r="R83" s="85"/>
      <c r="S83" s="135" t="s">
        <v>1251</v>
      </c>
      <c r="T83" s="143"/>
      <c r="U83" s="115"/>
      <c r="V83" s="47"/>
      <c r="W83" s="93" t="s">
        <v>757</v>
      </c>
      <c r="X83" s="117"/>
      <c r="Y83" s="25"/>
    </row>
    <row r="84" spans="2:25" ht="12.75">
      <c r="B84" s="72" t="s">
        <v>752</v>
      </c>
      <c r="C84" s="142"/>
      <c r="D84" s="73"/>
      <c r="F84" s="85"/>
      <c r="G84" s="82" t="s">
        <v>1252</v>
      </c>
      <c r="H84" s="231"/>
      <c r="I84" s="115"/>
      <c r="J84" s="47"/>
      <c r="K84" s="93" t="s">
        <v>758</v>
      </c>
      <c r="L84" s="224"/>
      <c r="M84" s="222"/>
      <c r="N84" s="120" t="s">
        <v>752</v>
      </c>
      <c r="O84" s="142"/>
      <c r="P84" s="73"/>
      <c r="R84" s="85"/>
      <c r="S84" s="135" t="s">
        <v>1252</v>
      </c>
      <c r="T84" s="143"/>
      <c r="U84" s="115"/>
      <c r="V84" s="47"/>
      <c r="W84" s="93" t="s">
        <v>758</v>
      </c>
      <c r="X84" s="117"/>
      <c r="Y84" s="25"/>
    </row>
    <row r="85" spans="2:25" ht="12.75">
      <c r="B85" s="72"/>
      <c r="C85" s="142"/>
      <c r="D85" s="73"/>
      <c r="F85" s="85"/>
      <c r="G85" s="82"/>
      <c r="H85" s="231"/>
      <c r="I85" s="115"/>
      <c r="J85" s="47"/>
      <c r="K85" s="93"/>
      <c r="L85" s="224"/>
      <c r="M85" s="222"/>
      <c r="N85" s="120"/>
      <c r="O85" s="142"/>
      <c r="P85" s="73"/>
      <c r="R85" s="85"/>
      <c r="S85" s="135"/>
      <c r="T85" s="143"/>
      <c r="U85" s="115"/>
      <c r="V85" s="47"/>
      <c r="W85" s="93"/>
      <c r="X85" s="117"/>
      <c r="Y85" s="25"/>
    </row>
    <row r="86" spans="2:25" ht="12.75">
      <c r="B86" s="72"/>
      <c r="C86" s="142"/>
      <c r="D86" s="73"/>
      <c r="F86" s="85"/>
      <c r="G86" s="82"/>
      <c r="H86" s="231"/>
      <c r="I86" s="115"/>
      <c r="J86" s="47"/>
      <c r="K86" s="93"/>
      <c r="L86" s="224"/>
      <c r="M86" s="222"/>
      <c r="N86" s="120"/>
      <c r="O86" s="142"/>
      <c r="P86" s="73"/>
      <c r="R86" s="85"/>
      <c r="S86" s="135"/>
      <c r="T86" s="143"/>
      <c r="U86" s="115"/>
      <c r="V86" s="47"/>
      <c r="W86" s="93"/>
      <c r="X86" s="117"/>
      <c r="Y86" s="25"/>
    </row>
    <row r="87" spans="2:25" ht="12.75">
      <c r="B87" s="72"/>
      <c r="C87" s="119"/>
      <c r="D87" s="73"/>
      <c r="F87" s="85"/>
      <c r="G87" s="82" t="s">
        <v>753</v>
      </c>
      <c r="H87" s="86"/>
      <c r="I87" s="115"/>
      <c r="J87" s="47"/>
      <c r="K87" s="93"/>
      <c r="L87" s="224"/>
      <c r="M87" s="222"/>
      <c r="N87" s="120"/>
      <c r="O87" s="119"/>
      <c r="P87" s="73"/>
      <c r="R87" s="85"/>
      <c r="S87" s="135" t="s">
        <v>753</v>
      </c>
      <c r="T87" s="86"/>
      <c r="U87" s="115"/>
      <c r="V87" s="47"/>
      <c r="W87" s="93"/>
      <c r="X87" s="117"/>
      <c r="Y87" s="25"/>
    </row>
    <row r="88" spans="2:25" ht="12.75">
      <c r="B88" s="72"/>
      <c r="C88" s="120"/>
      <c r="D88" s="73"/>
      <c r="F88" s="85"/>
      <c r="G88" s="82" t="s">
        <v>754</v>
      </c>
      <c r="H88" s="86"/>
      <c r="I88" s="115"/>
      <c r="J88" s="47"/>
      <c r="K88" s="93"/>
      <c r="L88" s="224"/>
      <c r="M88" s="222"/>
      <c r="N88" s="120"/>
      <c r="O88" s="120"/>
      <c r="P88" s="73"/>
      <c r="R88" s="85"/>
      <c r="S88" s="135" t="s">
        <v>754</v>
      </c>
      <c r="T88" s="86"/>
      <c r="U88" s="115"/>
      <c r="V88" s="47"/>
      <c r="W88" s="93"/>
      <c r="X88" s="117"/>
      <c r="Y88" s="25"/>
    </row>
    <row r="89" spans="2:25" ht="12.75">
      <c r="B89" s="72" t="s">
        <v>760</v>
      </c>
      <c r="C89" s="140"/>
      <c r="D89" s="73"/>
      <c r="F89" s="85"/>
      <c r="G89" s="82"/>
      <c r="H89" s="86"/>
      <c r="I89" s="115"/>
      <c r="J89" s="47"/>
      <c r="K89" s="93"/>
      <c r="L89" s="224"/>
      <c r="M89" s="222"/>
      <c r="N89" s="120" t="s">
        <v>760</v>
      </c>
      <c r="O89" s="140"/>
      <c r="P89" s="73"/>
      <c r="R89" s="85"/>
      <c r="S89" s="135"/>
      <c r="T89" s="86"/>
      <c r="U89" s="115"/>
      <c r="V89" s="47"/>
      <c r="W89" s="93"/>
      <c r="X89" s="117"/>
      <c r="Y89" s="25"/>
    </row>
    <row r="90" spans="2:25" ht="12.75">
      <c r="B90" s="232" t="s">
        <v>761</v>
      </c>
      <c r="C90" s="144"/>
      <c r="D90" s="73"/>
      <c r="F90" s="85"/>
      <c r="G90" s="82" t="s">
        <v>755</v>
      </c>
      <c r="H90" s="126"/>
      <c r="I90" s="115"/>
      <c r="J90" s="47"/>
      <c r="K90" s="1926" t="s">
        <v>759</v>
      </c>
      <c r="L90" s="1927"/>
      <c r="M90" s="222"/>
      <c r="N90" s="144" t="s">
        <v>761</v>
      </c>
      <c r="O90" s="144"/>
      <c r="P90" s="73"/>
      <c r="R90" s="85"/>
      <c r="S90" s="135" t="s">
        <v>755</v>
      </c>
      <c r="T90" s="126"/>
      <c r="U90" s="115"/>
      <c r="V90" s="47"/>
      <c r="W90" s="1926" t="s">
        <v>759</v>
      </c>
      <c r="X90" s="1966"/>
      <c r="Y90" s="25"/>
    </row>
    <row r="91" spans="2:25" ht="12.75">
      <c r="B91" s="72" t="s">
        <v>1253</v>
      </c>
      <c r="C91" s="140"/>
      <c r="D91" s="73"/>
      <c r="F91" s="85"/>
      <c r="G91" s="82" t="s">
        <v>756</v>
      </c>
      <c r="H91" s="231"/>
      <c r="I91" s="115"/>
      <c r="J91" s="47"/>
      <c r="K91" s="1926"/>
      <c r="L91" s="1927"/>
      <c r="M91" s="222"/>
      <c r="N91" s="120" t="s">
        <v>1253</v>
      </c>
      <c r="O91" s="140"/>
      <c r="P91" s="73"/>
      <c r="R91" s="85"/>
      <c r="S91" s="135" t="s">
        <v>756</v>
      </c>
      <c r="T91" s="143"/>
      <c r="U91" s="115"/>
      <c r="V91" s="47"/>
      <c r="W91" s="1926"/>
      <c r="X91" s="1966"/>
      <c r="Y91" s="25"/>
    </row>
    <row r="92" spans="2:25" ht="12.75">
      <c r="B92" s="72"/>
      <c r="C92" s="120"/>
      <c r="D92" s="73"/>
      <c r="F92" s="85"/>
      <c r="G92" s="82"/>
      <c r="H92" s="231"/>
      <c r="I92" s="115"/>
      <c r="J92" s="47"/>
      <c r="K92" s="93"/>
      <c r="L92" s="224"/>
      <c r="M92" s="222"/>
      <c r="N92" s="120"/>
      <c r="O92" s="120"/>
      <c r="P92" s="73"/>
      <c r="R92" s="85"/>
      <c r="S92" s="135"/>
      <c r="T92" s="143"/>
      <c r="U92" s="115"/>
      <c r="V92" s="47"/>
      <c r="W92" s="93"/>
      <c r="X92" s="117"/>
      <c r="Y92" s="25"/>
    </row>
    <row r="93" spans="2:25" ht="12.75">
      <c r="B93" s="72"/>
      <c r="C93" s="120"/>
      <c r="D93" s="73"/>
      <c r="F93" s="85"/>
      <c r="G93" s="82"/>
      <c r="H93" s="231"/>
      <c r="I93" s="115"/>
      <c r="J93" s="47"/>
      <c r="K93" s="93"/>
      <c r="L93" s="224"/>
      <c r="M93" s="222"/>
      <c r="N93" s="120"/>
      <c r="O93" s="120"/>
      <c r="P93" s="73"/>
      <c r="R93" s="85"/>
      <c r="S93" s="135"/>
      <c r="T93" s="143"/>
      <c r="U93" s="115"/>
      <c r="V93" s="47"/>
      <c r="W93" s="93"/>
      <c r="X93" s="117"/>
      <c r="Y93" s="25"/>
    </row>
    <row r="94" spans="2:25" ht="12.75">
      <c r="B94" s="72"/>
      <c r="C94" s="140"/>
      <c r="D94" s="73"/>
      <c r="F94" s="85"/>
      <c r="G94" s="82"/>
      <c r="H94" s="231"/>
      <c r="I94" s="115"/>
      <c r="J94" s="47"/>
      <c r="K94" s="93"/>
      <c r="L94" s="224"/>
      <c r="M94" s="222"/>
      <c r="N94" s="120"/>
      <c r="O94" s="140"/>
      <c r="P94" s="73"/>
      <c r="R94" s="85"/>
      <c r="S94" s="135"/>
      <c r="T94" s="143"/>
      <c r="U94" s="115"/>
      <c r="V94" s="47"/>
      <c r="W94" s="93"/>
      <c r="X94" s="117"/>
      <c r="Y94" s="25"/>
    </row>
    <row r="95" spans="2:25" ht="12.75" customHeight="1">
      <c r="B95" s="1922" t="s">
        <v>744</v>
      </c>
      <c r="C95" s="1925"/>
      <c r="D95" s="73"/>
      <c r="E95" s="47"/>
      <c r="F95" s="81"/>
      <c r="G95" s="1923" t="s">
        <v>745</v>
      </c>
      <c r="H95" s="1924"/>
      <c r="I95" s="115"/>
      <c r="J95" s="47"/>
      <c r="K95" s="93"/>
      <c r="L95" s="224"/>
      <c r="M95" s="222"/>
      <c r="N95" s="2094" t="s">
        <v>744</v>
      </c>
      <c r="O95" s="1925"/>
      <c r="P95" s="73"/>
      <c r="Q95" s="47"/>
      <c r="R95" s="81"/>
      <c r="S95" s="1923" t="s">
        <v>745</v>
      </c>
      <c r="T95" s="1924"/>
      <c r="U95" s="115"/>
      <c r="V95" s="47"/>
      <c r="W95" s="93"/>
      <c r="X95" s="117"/>
      <c r="Y95" s="25"/>
    </row>
    <row r="96" spans="2:25" ht="12.75">
      <c r="B96" s="1922"/>
      <c r="C96" s="1925"/>
      <c r="D96" s="74"/>
      <c r="E96" s="47"/>
      <c r="F96" s="81"/>
      <c r="G96" s="1923"/>
      <c r="H96" s="1924"/>
      <c r="I96" s="114"/>
      <c r="K96" s="1928" t="s">
        <v>5</v>
      </c>
      <c r="L96" s="1929"/>
      <c r="M96" s="222"/>
      <c r="N96" s="2094"/>
      <c r="O96" s="1925"/>
      <c r="P96" s="74"/>
      <c r="Q96" s="47"/>
      <c r="R96" s="81"/>
      <c r="S96" s="1923"/>
      <c r="T96" s="1924"/>
      <c r="U96" s="114"/>
      <c r="W96" s="1928" t="s">
        <v>5</v>
      </c>
      <c r="X96" s="1959"/>
      <c r="Y96" s="25"/>
    </row>
    <row r="97" spans="2:25" ht="12.75">
      <c r="B97" s="72"/>
      <c r="C97" s="119"/>
      <c r="D97" s="73"/>
      <c r="E97" s="47"/>
      <c r="F97" s="81"/>
      <c r="G97" s="82"/>
      <c r="H97" s="84"/>
      <c r="I97" s="115"/>
      <c r="J97" s="47"/>
      <c r="K97" s="1928"/>
      <c r="L97" s="1929"/>
      <c r="M97" s="222"/>
      <c r="N97" s="120"/>
      <c r="O97" s="119"/>
      <c r="P97" s="73"/>
      <c r="Q97" s="47"/>
      <c r="R97" s="81"/>
      <c r="S97" s="82"/>
      <c r="T97" s="84"/>
      <c r="U97" s="115"/>
      <c r="V97" s="47"/>
      <c r="W97" s="1928"/>
      <c r="X97" s="1959"/>
      <c r="Y97" s="25"/>
    </row>
    <row r="98" spans="2:25" ht="12.75">
      <c r="B98" s="72"/>
      <c r="C98" s="119"/>
      <c r="D98" s="73"/>
      <c r="F98" s="85"/>
      <c r="G98" s="82"/>
      <c r="H98" s="84"/>
      <c r="I98" s="114"/>
      <c r="K98" s="93"/>
      <c r="L98" s="224"/>
      <c r="M98" s="222"/>
      <c r="N98" s="120"/>
      <c r="O98" s="119"/>
      <c r="P98" s="73"/>
      <c r="R98" s="85"/>
      <c r="S98" s="82"/>
      <c r="T98" s="84"/>
      <c r="U98" s="114"/>
      <c r="W98" s="93"/>
      <c r="X98" s="117"/>
      <c r="Y98" s="25"/>
    </row>
    <row r="99" spans="2:25" ht="12.75">
      <c r="B99" s="72"/>
      <c r="C99" s="119"/>
      <c r="D99" s="73"/>
      <c r="E99" s="47"/>
      <c r="F99" s="81"/>
      <c r="G99" s="82"/>
      <c r="H99" s="84"/>
      <c r="I99" s="115"/>
      <c r="J99" s="47"/>
      <c r="K99" s="145" t="s">
        <v>762</v>
      </c>
      <c r="L99" s="235"/>
      <c r="M99" s="222"/>
      <c r="N99" s="120"/>
      <c r="O99" s="119"/>
      <c r="P99" s="73"/>
      <c r="Q99" s="47"/>
      <c r="R99" s="81"/>
      <c r="S99" s="82"/>
      <c r="T99" s="84"/>
      <c r="U99" s="115"/>
      <c r="V99" s="47"/>
      <c r="W99" s="145" t="s">
        <v>762</v>
      </c>
      <c r="X99" s="153"/>
      <c r="Y99" s="25"/>
    </row>
    <row r="100" spans="2:25" ht="12.75">
      <c r="B100" s="72"/>
      <c r="C100" s="119"/>
      <c r="D100" s="73"/>
      <c r="E100" s="47"/>
      <c r="F100" s="81"/>
      <c r="G100" s="82"/>
      <c r="H100" s="82"/>
      <c r="I100" s="114"/>
      <c r="K100" s="93"/>
      <c r="L100" s="224"/>
      <c r="M100" s="222"/>
      <c r="N100" s="120"/>
      <c r="O100" s="119"/>
      <c r="P100" s="73"/>
      <c r="Q100" s="47"/>
      <c r="R100" s="81"/>
      <c r="S100" s="82"/>
      <c r="T100" s="82"/>
      <c r="U100" s="114"/>
      <c r="W100" s="93"/>
      <c r="X100" s="117"/>
      <c r="Y100" s="25"/>
    </row>
    <row r="101" spans="2:25" ht="12.75">
      <c r="B101" s="1919" t="s">
        <v>129</v>
      </c>
      <c r="C101" s="1920"/>
      <c r="D101" s="1920"/>
      <c r="E101" s="1920"/>
      <c r="F101" s="1920"/>
      <c r="G101" s="1920"/>
      <c r="H101" s="1920"/>
      <c r="I101" s="1920"/>
      <c r="J101" s="1920"/>
      <c r="K101" s="1920"/>
      <c r="L101" s="1921"/>
      <c r="M101" s="222"/>
      <c r="N101" s="1983"/>
      <c r="O101" s="1983"/>
      <c r="P101" s="1984"/>
      <c r="Q101" s="47"/>
      <c r="R101" s="1985"/>
      <c r="S101" s="1627"/>
      <c r="T101" s="1627"/>
      <c r="U101" s="1986"/>
      <c r="V101" s="47"/>
      <c r="W101" s="1964"/>
      <c r="X101" s="1965"/>
      <c r="Y101" s="25"/>
    </row>
    <row r="102" spans="2:25" ht="12.75">
      <c r="B102" s="72" t="s">
        <v>125</v>
      </c>
      <c r="C102" s="119"/>
      <c r="D102" s="74"/>
      <c r="F102" s="85"/>
      <c r="G102" s="82" t="s">
        <v>125</v>
      </c>
      <c r="H102" s="233"/>
      <c r="I102" s="124"/>
      <c r="J102" s="47"/>
      <c r="K102" s="93"/>
      <c r="L102" s="224"/>
      <c r="M102" s="222"/>
      <c r="N102" s="120"/>
      <c r="O102" s="119"/>
      <c r="P102" s="74"/>
      <c r="R102" s="85"/>
      <c r="S102" s="82"/>
      <c r="T102" s="84"/>
      <c r="U102" s="115"/>
      <c r="V102" s="47"/>
      <c r="W102" s="93"/>
      <c r="X102" s="117"/>
      <c r="Y102" s="25"/>
    </row>
    <row r="103" spans="2:25" ht="12.75">
      <c r="B103" s="72" t="s">
        <v>131</v>
      </c>
      <c r="C103" s="119"/>
      <c r="D103" s="73"/>
      <c r="F103" s="85"/>
      <c r="G103" s="82" t="s">
        <v>126</v>
      </c>
      <c r="H103" s="233"/>
      <c r="I103" s="115"/>
      <c r="J103" s="47"/>
      <c r="K103" s="93"/>
      <c r="L103" s="224"/>
      <c r="M103" s="222"/>
      <c r="N103" s="120"/>
      <c r="O103" s="119"/>
      <c r="P103" s="73"/>
      <c r="R103" s="85"/>
      <c r="S103" s="82"/>
      <c r="T103" s="84"/>
      <c r="U103" s="115"/>
      <c r="V103" s="47"/>
      <c r="W103" s="93"/>
      <c r="X103" s="117"/>
      <c r="Y103" s="25"/>
    </row>
    <row r="104" spans="2:25" ht="12.75">
      <c r="B104" s="72" t="s">
        <v>128</v>
      </c>
      <c r="C104" s="119"/>
      <c r="D104" s="73"/>
      <c r="F104" s="85"/>
      <c r="G104" s="82" t="s">
        <v>127</v>
      </c>
      <c r="H104" s="233"/>
      <c r="I104" s="115"/>
      <c r="J104" s="47"/>
      <c r="K104" s="93" t="s">
        <v>130</v>
      </c>
      <c r="L104" s="224"/>
      <c r="M104" s="222"/>
      <c r="N104" s="120"/>
      <c r="O104" s="119"/>
      <c r="P104" s="73"/>
      <c r="R104" s="85"/>
      <c r="S104" s="82"/>
      <c r="T104" s="84"/>
      <c r="U104" s="115"/>
      <c r="V104" s="47"/>
      <c r="W104" s="93"/>
      <c r="X104" s="117"/>
      <c r="Y104" s="25"/>
    </row>
    <row r="105" spans="2:25" ht="12.75">
      <c r="B105" s="72"/>
      <c r="C105" s="119"/>
      <c r="D105" s="73"/>
      <c r="F105" s="85"/>
      <c r="G105" s="82"/>
      <c r="H105" s="84"/>
      <c r="I105" s="114"/>
      <c r="K105" s="93"/>
      <c r="L105" s="224"/>
      <c r="M105" s="222"/>
      <c r="N105" s="120"/>
      <c r="O105" s="119"/>
      <c r="P105" s="73"/>
      <c r="R105" s="85"/>
      <c r="S105" s="82"/>
      <c r="T105" s="84"/>
      <c r="U105" s="114"/>
      <c r="W105" s="93"/>
      <c r="X105" s="117"/>
      <c r="Y105" s="25"/>
    </row>
    <row r="106" spans="2:25" ht="12.75">
      <c r="B106" s="72"/>
      <c r="C106" s="119"/>
      <c r="D106" s="73"/>
      <c r="F106" s="85"/>
      <c r="G106" s="82"/>
      <c r="H106" s="84"/>
      <c r="I106" s="114"/>
      <c r="K106" s="93"/>
      <c r="L106" s="224"/>
      <c r="M106" s="220"/>
      <c r="N106" s="219"/>
      <c r="O106" s="123"/>
      <c r="P106" s="75"/>
      <c r="R106" s="90"/>
      <c r="S106" s="91"/>
      <c r="T106" s="83"/>
      <c r="U106" s="116"/>
      <c r="W106" s="94"/>
      <c r="X106" s="152"/>
      <c r="Y106" s="25"/>
    </row>
    <row r="107" spans="2:25" ht="12.75">
      <c r="B107" s="72"/>
      <c r="C107" s="119"/>
      <c r="D107" s="73"/>
      <c r="F107" s="85"/>
      <c r="G107" s="82"/>
      <c r="H107" s="84"/>
      <c r="I107" s="114"/>
      <c r="K107" s="93"/>
      <c r="L107" s="224"/>
      <c r="M107" s="220"/>
      <c r="Y107" s="25"/>
    </row>
    <row r="108" spans="2:25" ht="12.75">
      <c r="B108" s="77"/>
      <c r="C108" s="123"/>
      <c r="D108" s="75"/>
      <c r="E108" s="14"/>
      <c r="F108" s="90"/>
      <c r="G108" s="91"/>
      <c r="H108" s="83"/>
      <c r="I108" s="116"/>
      <c r="J108" s="14"/>
      <c r="K108" s="94"/>
      <c r="L108" s="225"/>
      <c r="M108" s="220"/>
      <c r="Y108" s="25"/>
    </row>
    <row r="109" spans="2:25" ht="12.75">
      <c r="B109" s="1930" t="s">
        <v>1215</v>
      </c>
      <c r="C109" s="1931"/>
      <c r="D109" s="1931"/>
      <c r="E109" s="1931"/>
      <c r="F109" s="1931"/>
      <c r="G109" s="1931"/>
      <c r="H109" s="1931"/>
      <c r="I109" s="1931"/>
      <c r="J109" s="1931"/>
      <c r="K109" s="1931"/>
      <c r="L109" s="1931"/>
      <c r="M109" s="1931"/>
      <c r="N109" s="1932" t="s">
        <v>31</v>
      </c>
      <c r="O109" s="1932"/>
      <c r="P109" s="1932"/>
      <c r="Q109" s="1932"/>
      <c r="R109" s="1932"/>
      <c r="S109" s="1932"/>
      <c r="T109" s="1932"/>
      <c r="U109" s="1932"/>
      <c r="V109" s="1932"/>
      <c r="W109" s="1932"/>
      <c r="X109" s="1932"/>
      <c r="Y109" s="25"/>
    </row>
    <row r="110" spans="2:25" ht="12.75">
      <c r="B110" s="1860" t="str">
        <f>B73</f>
        <v>ANNEE N</v>
      </c>
      <c r="C110" s="1861"/>
      <c r="D110" s="105"/>
      <c r="E110" s="32"/>
      <c r="F110" s="1956">
        <f>F73</f>
        <v>0</v>
      </c>
      <c r="G110" s="1957"/>
      <c r="H110" s="1957"/>
      <c r="I110" s="1958"/>
      <c r="J110" s="28"/>
      <c r="K110" s="1948">
        <f>K73</f>
        <v>0</v>
      </c>
      <c r="L110" s="1963"/>
      <c r="M110" s="1963"/>
      <c r="N110" s="1861" t="str">
        <f>N73</f>
        <v>ANNEE N - 1</v>
      </c>
      <c r="O110" s="1861"/>
      <c r="P110" s="71"/>
      <c r="Q110" s="69"/>
      <c r="R110" s="1956">
        <f>R73</f>
        <v>0</v>
      </c>
      <c r="S110" s="1957"/>
      <c r="T110" s="1957"/>
      <c r="U110" s="1958"/>
      <c r="V110" s="69"/>
      <c r="W110" s="1938">
        <f>W73</f>
        <v>0</v>
      </c>
      <c r="X110" s="1962"/>
      <c r="Y110" s="25"/>
    </row>
    <row r="111" spans="2:25" ht="12.75">
      <c r="B111" s="72"/>
      <c r="C111" s="119"/>
      <c r="D111" s="73"/>
      <c r="E111" s="44"/>
      <c r="F111" s="34"/>
      <c r="G111" s="82"/>
      <c r="H111" s="82"/>
      <c r="I111" s="114"/>
      <c r="K111" s="93"/>
      <c r="L111" s="224" t="s">
        <v>29</v>
      </c>
      <c r="M111" s="93" t="s">
        <v>9</v>
      </c>
      <c r="N111" s="72"/>
      <c r="O111" s="119"/>
      <c r="P111" s="73"/>
      <c r="Q111" s="44"/>
      <c r="R111" s="34"/>
      <c r="S111" s="82"/>
      <c r="T111" s="82"/>
      <c r="U111" s="114"/>
      <c r="W111" s="93"/>
      <c r="X111" s="117"/>
      <c r="Y111" s="25"/>
    </row>
    <row r="112" spans="2:25" ht="12.75">
      <c r="B112" s="72"/>
      <c r="C112" s="119"/>
      <c r="D112" s="73"/>
      <c r="E112" s="44"/>
      <c r="F112" s="34"/>
      <c r="G112" s="82"/>
      <c r="H112" s="84"/>
      <c r="I112" s="114"/>
      <c r="K112" s="93"/>
      <c r="L112" s="224"/>
      <c r="M112" s="93"/>
      <c r="N112" s="72"/>
      <c r="O112" s="119"/>
      <c r="P112" s="73"/>
      <c r="Q112" s="44"/>
      <c r="R112" s="34"/>
      <c r="S112" s="82"/>
      <c r="T112" s="84"/>
      <c r="U112" s="114"/>
      <c r="W112" s="93"/>
      <c r="X112" s="117"/>
      <c r="Y112" s="25"/>
    </row>
    <row r="113" spans="2:25" ht="12.75">
      <c r="B113" s="72"/>
      <c r="C113" s="119"/>
      <c r="D113" s="73"/>
      <c r="E113" s="44"/>
      <c r="F113" s="34"/>
      <c r="G113" s="82"/>
      <c r="H113" s="84"/>
      <c r="I113" s="114"/>
      <c r="K113" s="93"/>
      <c r="L113" s="224"/>
      <c r="M113" s="93"/>
      <c r="N113" s="72"/>
      <c r="O113" s="119"/>
      <c r="P113" s="73"/>
      <c r="Q113" s="44"/>
      <c r="R113" s="34"/>
      <c r="S113" s="82"/>
      <c r="T113" s="84"/>
      <c r="U113" s="114"/>
      <c r="W113" s="93"/>
      <c r="X113" s="117"/>
      <c r="Y113" s="25"/>
    </row>
    <row r="114" spans="2:25" ht="12.75">
      <c r="B114" s="72"/>
      <c r="C114" s="119"/>
      <c r="D114" s="73"/>
      <c r="E114" s="44"/>
      <c r="F114" s="34"/>
      <c r="G114" s="82"/>
      <c r="H114" s="84"/>
      <c r="I114" s="114"/>
      <c r="K114" s="93"/>
      <c r="L114" s="224"/>
      <c r="M114" s="93"/>
      <c r="N114" s="72"/>
      <c r="O114" s="119"/>
      <c r="P114" s="73"/>
      <c r="Q114" s="44"/>
      <c r="R114" s="34"/>
      <c r="S114" s="82"/>
      <c r="T114" s="84"/>
      <c r="U114" s="114"/>
      <c r="W114" s="93"/>
      <c r="X114" s="117"/>
      <c r="Y114" s="25"/>
    </row>
    <row r="115" spans="2:25" ht="12.75">
      <c r="B115" s="72"/>
      <c r="C115" s="119"/>
      <c r="D115" s="73"/>
      <c r="E115" s="44"/>
      <c r="F115" s="34"/>
      <c r="G115" s="82"/>
      <c r="H115" s="84"/>
      <c r="I115" s="114"/>
      <c r="K115" s="93"/>
      <c r="L115" s="224"/>
      <c r="M115" s="93"/>
      <c r="N115" s="72"/>
      <c r="O115" s="119"/>
      <c r="P115" s="73"/>
      <c r="Q115" s="44"/>
      <c r="R115" s="34"/>
      <c r="S115" s="82"/>
      <c r="T115" s="84"/>
      <c r="U115" s="114"/>
      <c r="W115" s="93"/>
      <c r="X115" s="117"/>
      <c r="Y115" s="25"/>
    </row>
    <row r="116" spans="2:25" ht="12.75">
      <c r="B116" s="72"/>
      <c r="C116" s="119"/>
      <c r="D116" s="73"/>
      <c r="E116" s="44"/>
      <c r="F116" s="34"/>
      <c r="G116" s="82"/>
      <c r="H116" s="84"/>
      <c r="I116" s="114"/>
      <c r="K116" s="93"/>
      <c r="L116" s="224"/>
      <c r="M116" s="93"/>
      <c r="N116" s="72"/>
      <c r="O116" s="119"/>
      <c r="P116" s="73"/>
      <c r="Q116" s="44"/>
      <c r="R116" s="34"/>
      <c r="S116" s="82"/>
      <c r="T116" s="84"/>
      <c r="U116" s="114"/>
      <c r="W116" s="93"/>
      <c r="X116" s="117"/>
      <c r="Y116" s="25"/>
    </row>
    <row r="117" spans="2:25" ht="12.75">
      <c r="B117" s="72"/>
      <c r="C117" s="119"/>
      <c r="D117" s="73"/>
      <c r="E117" s="47"/>
      <c r="F117" s="81"/>
      <c r="G117" s="82"/>
      <c r="H117" s="84"/>
      <c r="I117" s="115"/>
      <c r="J117" s="47"/>
      <c r="K117" s="93"/>
      <c r="L117" s="224"/>
      <c r="M117" s="93"/>
      <c r="N117" s="72"/>
      <c r="O117" s="119"/>
      <c r="P117" s="73"/>
      <c r="Q117" s="47"/>
      <c r="R117" s="81"/>
      <c r="S117" s="82"/>
      <c r="T117" s="84"/>
      <c r="U117" s="115"/>
      <c r="V117" s="47"/>
      <c r="W117" s="93"/>
      <c r="X117" s="117"/>
      <c r="Y117" s="25"/>
    </row>
    <row r="118" spans="2:25" ht="12.75">
      <c r="B118" s="72"/>
      <c r="C118" s="119"/>
      <c r="D118" s="73"/>
      <c r="E118" s="47"/>
      <c r="F118" s="81"/>
      <c r="G118" s="82"/>
      <c r="H118" s="84"/>
      <c r="I118" s="115"/>
      <c r="J118" s="47"/>
      <c r="K118" s="93"/>
      <c r="L118" s="224"/>
      <c r="M118" s="93"/>
      <c r="N118" s="72"/>
      <c r="O118" s="119"/>
      <c r="P118" s="73"/>
      <c r="Q118" s="47"/>
      <c r="R118" s="81"/>
      <c r="S118" s="82"/>
      <c r="T118" s="84"/>
      <c r="U118" s="115"/>
      <c r="V118" s="47"/>
      <c r="W118" s="93"/>
      <c r="X118" s="117"/>
      <c r="Y118" s="25"/>
    </row>
    <row r="119" spans="2:25" ht="12.75">
      <c r="B119" s="72"/>
      <c r="C119" s="119"/>
      <c r="D119" s="73"/>
      <c r="E119" s="47"/>
      <c r="F119" s="81"/>
      <c r="G119" s="82"/>
      <c r="H119" s="84"/>
      <c r="I119" s="115"/>
      <c r="J119" s="47"/>
      <c r="K119" s="93"/>
      <c r="L119" s="224"/>
      <c r="M119" s="93"/>
      <c r="N119" s="72"/>
      <c r="O119" s="119"/>
      <c r="P119" s="73"/>
      <c r="Q119" s="47"/>
      <c r="R119" s="81"/>
      <c r="S119" s="82"/>
      <c r="T119" s="84"/>
      <c r="U119" s="115"/>
      <c r="V119" s="47"/>
      <c r="W119" s="93"/>
      <c r="X119" s="117"/>
      <c r="Y119" s="25"/>
    </row>
    <row r="120" spans="2:25" ht="12.75">
      <c r="B120" s="72"/>
      <c r="C120" s="119"/>
      <c r="D120" s="73"/>
      <c r="E120" s="47"/>
      <c r="F120" s="81"/>
      <c r="G120" s="82"/>
      <c r="H120" s="84"/>
      <c r="I120" s="115"/>
      <c r="J120" s="47"/>
      <c r="K120" s="93"/>
      <c r="L120" s="224"/>
      <c r="M120" s="93"/>
      <c r="N120" s="72"/>
      <c r="O120" s="119"/>
      <c r="P120" s="73"/>
      <c r="Q120" s="47"/>
      <c r="R120" s="81"/>
      <c r="S120" s="82"/>
      <c r="T120" s="84"/>
      <c r="U120" s="115"/>
      <c r="V120" s="47"/>
      <c r="W120" s="93"/>
      <c r="X120" s="117"/>
      <c r="Y120" s="25"/>
    </row>
    <row r="121" spans="2:25" ht="12.75">
      <c r="B121" s="72"/>
      <c r="C121" s="119"/>
      <c r="D121" s="73"/>
      <c r="E121" s="47"/>
      <c r="F121" s="81"/>
      <c r="G121" s="82"/>
      <c r="H121" s="82"/>
      <c r="I121" s="115"/>
      <c r="J121" s="47"/>
      <c r="K121" s="93"/>
      <c r="L121" s="224"/>
      <c r="M121" s="93"/>
      <c r="N121" s="72"/>
      <c r="O121" s="119"/>
      <c r="P121" s="73"/>
      <c r="Q121" s="47"/>
      <c r="R121" s="81"/>
      <c r="S121" s="82"/>
      <c r="T121" s="82"/>
      <c r="U121" s="115"/>
      <c r="V121" s="47"/>
      <c r="W121" s="93"/>
      <c r="X121" s="117"/>
      <c r="Y121" s="25"/>
    </row>
    <row r="122" spans="2:25" ht="12.75">
      <c r="B122" s="72"/>
      <c r="C122" s="119"/>
      <c r="D122" s="73"/>
      <c r="E122" s="47"/>
      <c r="F122" s="81"/>
      <c r="G122" s="82"/>
      <c r="H122" s="84"/>
      <c r="I122" s="115"/>
      <c r="J122" s="47"/>
      <c r="K122" s="93"/>
      <c r="L122" s="224"/>
      <c r="M122" s="93"/>
      <c r="N122" s="72"/>
      <c r="O122" s="119"/>
      <c r="P122" s="73"/>
      <c r="Q122" s="47"/>
      <c r="R122" s="81"/>
      <c r="S122" s="82"/>
      <c r="T122" s="84"/>
      <c r="U122" s="115"/>
      <c r="V122" s="47"/>
      <c r="W122" s="93"/>
      <c r="X122" s="117"/>
      <c r="Y122" s="25"/>
    </row>
    <row r="123" spans="2:25" ht="12.75">
      <c r="B123" s="72"/>
      <c r="C123" s="119"/>
      <c r="D123" s="74"/>
      <c r="E123" s="47"/>
      <c r="F123" s="81"/>
      <c r="G123" s="82"/>
      <c r="H123" s="84"/>
      <c r="I123" s="115"/>
      <c r="J123" s="47"/>
      <c r="K123" s="93"/>
      <c r="L123" s="224"/>
      <c r="M123" s="93"/>
      <c r="N123" s="72"/>
      <c r="O123" s="119"/>
      <c r="P123" s="74"/>
      <c r="Q123" s="47"/>
      <c r="R123" s="81"/>
      <c r="S123" s="82"/>
      <c r="T123" s="84"/>
      <c r="U123" s="115"/>
      <c r="V123" s="47"/>
      <c r="W123" s="93"/>
      <c r="X123" s="117"/>
      <c r="Y123" s="25"/>
    </row>
    <row r="124" spans="2:25" ht="12.75">
      <c r="B124" s="72"/>
      <c r="C124" s="119"/>
      <c r="D124" s="73"/>
      <c r="E124" s="47"/>
      <c r="F124" s="81"/>
      <c r="G124" s="82"/>
      <c r="H124" s="82"/>
      <c r="I124" s="115"/>
      <c r="J124" s="47"/>
      <c r="K124" s="93"/>
      <c r="L124" s="224"/>
      <c r="M124" s="93"/>
      <c r="N124" s="72"/>
      <c r="O124" s="119"/>
      <c r="P124" s="73"/>
      <c r="Q124" s="47"/>
      <c r="R124" s="81"/>
      <c r="S124" s="82"/>
      <c r="T124" s="82"/>
      <c r="U124" s="115"/>
      <c r="V124" s="47"/>
      <c r="W124" s="93"/>
      <c r="X124" s="117"/>
      <c r="Y124" s="25"/>
    </row>
    <row r="125" spans="2:25" ht="12.75">
      <c r="B125" s="72"/>
      <c r="C125" s="119"/>
      <c r="D125" s="73"/>
      <c r="E125" s="47"/>
      <c r="F125" s="81"/>
      <c r="G125" s="82"/>
      <c r="H125" s="84"/>
      <c r="I125" s="115"/>
      <c r="J125" s="47"/>
      <c r="K125" s="93"/>
      <c r="L125" s="224"/>
      <c r="M125" s="93"/>
      <c r="N125" s="72"/>
      <c r="O125" s="119"/>
      <c r="P125" s="73"/>
      <c r="Q125" s="47"/>
      <c r="R125" s="81"/>
      <c r="S125" s="82"/>
      <c r="T125" s="84"/>
      <c r="U125" s="115"/>
      <c r="V125" s="47"/>
      <c r="W125" s="93"/>
      <c r="X125" s="117"/>
      <c r="Y125" s="25"/>
    </row>
    <row r="126" spans="2:25" ht="12.75">
      <c r="B126" s="72"/>
      <c r="C126" s="119"/>
      <c r="D126" s="73"/>
      <c r="E126" s="47"/>
      <c r="F126" s="81"/>
      <c r="G126" s="82"/>
      <c r="H126" s="84"/>
      <c r="I126" s="115"/>
      <c r="J126" s="47"/>
      <c r="K126" s="93"/>
      <c r="L126" s="224"/>
      <c r="M126" s="93"/>
      <c r="N126" s="72"/>
      <c r="O126" s="119"/>
      <c r="P126" s="73"/>
      <c r="Q126" s="47"/>
      <c r="R126" s="81"/>
      <c r="S126" s="82"/>
      <c r="T126" s="84"/>
      <c r="U126" s="115"/>
      <c r="V126" s="47"/>
      <c r="W126" s="93"/>
      <c r="X126" s="117"/>
      <c r="Y126" s="25"/>
    </row>
    <row r="127" spans="2:25" ht="12.75">
      <c r="B127" s="72"/>
      <c r="C127" s="119"/>
      <c r="D127" s="73"/>
      <c r="E127" s="47"/>
      <c r="F127" s="81"/>
      <c r="G127" s="82"/>
      <c r="H127" s="84"/>
      <c r="I127" s="115"/>
      <c r="J127" s="47"/>
      <c r="K127" s="93"/>
      <c r="L127" s="224"/>
      <c r="M127" s="93"/>
      <c r="N127" s="72"/>
      <c r="O127" s="119"/>
      <c r="P127" s="73"/>
      <c r="Q127" s="47"/>
      <c r="R127" s="81"/>
      <c r="S127" s="82"/>
      <c r="T127" s="84"/>
      <c r="U127" s="115"/>
      <c r="V127" s="47"/>
      <c r="W127" s="93"/>
      <c r="X127" s="117"/>
      <c r="Y127" s="25"/>
    </row>
    <row r="128" spans="2:25" ht="12.75">
      <c r="B128" s="72"/>
      <c r="C128" s="119"/>
      <c r="D128" s="73"/>
      <c r="E128" s="47"/>
      <c r="F128" s="81"/>
      <c r="G128" s="82"/>
      <c r="H128" s="84"/>
      <c r="I128" s="115"/>
      <c r="J128" s="47"/>
      <c r="K128" s="93"/>
      <c r="L128" s="224"/>
      <c r="M128" s="93"/>
      <c r="N128" s="72"/>
      <c r="O128" s="119"/>
      <c r="P128" s="73"/>
      <c r="Q128" s="47"/>
      <c r="R128" s="81"/>
      <c r="S128" s="82"/>
      <c r="T128" s="84"/>
      <c r="U128" s="115"/>
      <c r="V128" s="47"/>
      <c r="W128" s="93"/>
      <c r="X128" s="117"/>
      <c r="Y128" s="25"/>
    </row>
    <row r="129" spans="2:25" ht="12.75">
      <c r="B129" s="72"/>
      <c r="C129" s="119"/>
      <c r="D129" s="73"/>
      <c r="F129" s="85"/>
      <c r="G129" s="82"/>
      <c r="H129" s="84"/>
      <c r="I129" s="115"/>
      <c r="J129" s="47"/>
      <c r="K129" s="93"/>
      <c r="L129" s="224"/>
      <c r="M129" s="93"/>
      <c r="N129" s="72"/>
      <c r="O129" s="119"/>
      <c r="P129" s="73"/>
      <c r="R129" s="85"/>
      <c r="S129" s="82"/>
      <c r="T129" s="84"/>
      <c r="U129" s="115"/>
      <c r="V129" s="47"/>
      <c r="W129" s="93"/>
      <c r="X129" s="117"/>
      <c r="Y129" s="25"/>
    </row>
    <row r="130" spans="2:25" ht="12.75">
      <c r="B130" s="72"/>
      <c r="C130" s="119"/>
      <c r="D130" s="73"/>
      <c r="E130" s="47"/>
      <c r="F130" s="81"/>
      <c r="G130" s="82"/>
      <c r="H130" s="84"/>
      <c r="I130" s="115"/>
      <c r="J130" s="47"/>
      <c r="K130" s="93"/>
      <c r="L130" s="224"/>
      <c r="M130" s="93"/>
      <c r="N130" s="72"/>
      <c r="O130" s="119"/>
      <c r="P130" s="73"/>
      <c r="Q130" s="47"/>
      <c r="R130" s="81"/>
      <c r="S130" s="82"/>
      <c r="T130" s="84"/>
      <c r="U130" s="115"/>
      <c r="V130" s="47"/>
      <c r="W130" s="93"/>
      <c r="X130" s="117"/>
      <c r="Y130" s="25"/>
    </row>
    <row r="131" spans="2:25" ht="12.75">
      <c r="B131" s="72"/>
      <c r="C131" s="119"/>
      <c r="D131" s="74"/>
      <c r="E131" s="47"/>
      <c r="F131" s="81"/>
      <c r="G131" s="82"/>
      <c r="H131" s="84"/>
      <c r="I131" s="114"/>
      <c r="K131" s="93"/>
      <c r="L131" s="224"/>
      <c r="M131" s="93"/>
      <c r="N131" s="72"/>
      <c r="O131" s="119"/>
      <c r="P131" s="74"/>
      <c r="Q131" s="47"/>
      <c r="R131" s="81"/>
      <c r="S131" s="82"/>
      <c r="T131" s="84"/>
      <c r="U131" s="114"/>
      <c r="W131" s="93"/>
      <c r="X131" s="117"/>
      <c r="Y131" s="25"/>
    </row>
    <row r="132" spans="2:25" ht="12.75">
      <c r="B132" s="72"/>
      <c r="C132" s="119"/>
      <c r="D132" s="73"/>
      <c r="E132" s="47"/>
      <c r="F132" s="81"/>
      <c r="G132" s="82"/>
      <c r="H132" s="84"/>
      <c r="I132" s="115"/>
      <c r="J132" s="47"/>
      <c r="K132" s="93"/>
      <c r="L132" s="224"/>
      <c r="M132" s="93"/>
      <c r="N132" s="72"/>
      <c r="O132" s="119"/>
      <c r="P132" s="73"/>
      <c r="Q132" s="47"/>
      <c r="R132" s="81"/>
      <c r="S132" s="82"/>
      <c r="T132" s="84"/>
      <c r="U132" s="115"/>
      <c r="V132" s="47"/>
      <c r="W132" s="93"/>
      <c r="X132" s="117"/>
      <c r="Y132" s="25"/>
    </row>
    <row r="133" spans="2:25" ht="12.75">
      <c r="B133" s="72"/>
      <c r="C133" s="119"/>
      <c r="D133" s="73"/>
      <c r="F133" s="85"/>
      <c r="G133" s="82"/>
      <c r="H133" s="84"/>
      <c r="I133" s="114"/>
      <c r="K133" s="93"/>
      <c r="L133" s="224"/>
      <c r="M133" s="93"/>
      <c r="N133" s="72"/>
      <c r="O133" s="119"/>
      <c r="P133" s="73"/>
      <c r="R133" s="85"/>
      <c r="S133" s="82"/>
      <c r="T133" s="84"/>
      <c r="U133" s="114"/>
      <c r="W133" s="93"/>
      <c r="X133" s="117"/>
      <c r="Y133" s="25"/>
    </row>
    <row r="134" spans="2:25" ht="12.75">
      <c r="B134" s="72"/>
      <c r="C134" s="119"/>
      <c r="D134" s="73"/>
      <c r="E134" s="47"/>
      <c r="F134" s="81"/>
      <c r="G134" s="82"/>
      <c r="H134" s="82"/>
      <c r="I134" s="114"/>
      <c r="K134" s="93"/>
      <c r="L134" s="224"/>
      <c r="M134" s="93"/>
      <c r="N134" s="72"/>
      <c r="O134" s="119"/>
      <c r="P134" s="73"/>
      <c r="Q134" s="47"/>
      <c r="R134" s="81"/>
      <c r="S134" s="82"/>
      <c r="T134" s="82"/>
      <c r="U134" s="114"/>
      <c r="W134" s="93"/>
      <c r="X134" s="117"/>
      <c r="Y134" s="25"/>
    </row>
    <row r="135" spans="2:25" ht="12.75">
      <c r="B135" s="72"/>
      <c r="C135" s="119"/>
      <c r="D135" s="73"/>
      <c r="E135" s="47"/>
      <c r="F135" s="81"/>
      <c r="G135" s="82"/>
      <c r="H135" s="82"/>
      <c r="I135" s="114"/>
      <c r="K135" s="93"/>
      <c r="L135" s="224"/>
      <c r="M135" s="93"/>
      <c r="N135" s="72"/>
      <c r="O135" s="119"/>
      <c r="P135" s="73"/>
      <c r="Q135" s="47"/>
      <c r="R135" s="81"/>
      <c r="S135" s="82"/>
      <c r="T135" s="82"/>
      <c r="U135" s="114"/>
      <c r="W135" s="93"/>
      <c r="X135" s="117"/>
      <c r="Y135" s="25"/>
    </row>
    <row r="136" spans="2:25" ht="12.75">
      <c r="B136" s="72"/>
      <c r="C136" s="119"/>
      <c r="D136" s="73"/>
      <c r="E136" s="47"/>
      <c r="F136" s="81"/>
      <c r="G136" s="82"/>
      <c r="H136" s="82"/>
      <c r="I136" s="114"/>
      <c r="K136" s="93"/>
      <c r="L136" s="224"/>
      <c r="M136" s="93"/>
      <c r="N136" s="72"/>
      <c r="O136" s="119"/>
      <c r="P136" s="73"/>
      <c r="Q136" s="47"/>
      <c r="R136" s="81"/>
      <c r="S136" s="82"/>
      <c r="T136" s="82"/>
      <c r="U136" s="114"/>
      <c r="W136" s="93"/>
      <c r="X136" s="117"/>
      <c r="Y136" s="25"/>
    </row>
    <row r="137" spans="2:25" ht="12.75">
      <c r="B137" s="72"/>
      <c r="C137" s="119"/>
      <c r="D137" s="73"/>
      <c r="E137" s="47"/>
      <c r="F137" s="81"/>
      <c r="G137" s="82"/>
      <c r="H137" s="82"/>
      <c r="I137" s="114"/>
      <c r="K137" s="93"/>
      <c r="L137" s="224"/>
      <c r="M137" s="93"/>
      <c r="N137" s="72"/>
      <c r="O137" s="119"/>
      <c r="P137" s="73"/>
      <c r="Q137" s="47"/>
      <c r="R137" s="81"/>
      <c r="S137" s="82"/>
      <c r="T137" s="82"/>
      <c r="U137" s="114"/>
      <c r="W137" s="93"/>
      <c r="X137" s="117"/>
      <c r="Y137" s="25"/>
    </row>
    <row r="138" spans="2:25" ht="12.75">
      <c r="B138" s="72"/>
      <c r="C138" s="119"/>
      <c r="D138" s="73"/>
      <c r="E138" s="47"/>
      <c r="F138" s="81"/>
      <c r="G138" s="82"/>
      <c r="H138" s="82"/>
      <c r="I138" s="114"/>
      <c r="K138" s="93"/>
      <c r="L138" s="224"/>
      <c r="M138" s="93"/>
      <c r="N138" s="72"/>
      <c r="O138" s="119"/>
      <c r="P138" s="73"/>
      <c r="Q138" s="47"/>
      <c r="R138" s="81"/>
      <c r="S138" s="82"/>
      <c r="T138" s="82"/>
      <c r="U138" s="114"/>
      <c r="W138" s="93"/>
      <c r="X138" s="117"/>
      <c r="Y138" s="25"/>
    </row>
    <row r="139" spans="2:25" ht="12.75">
      <c r="B139" s="72"/>
      <c r="C139" s="119"/>
      <c r="D139" s="73"/>
      <c r="E139" s="47"/>
      <c r="F139" s="81"/>
      <c r="G139" s="82"/>
      <c r="H139" s="82"/>
      <c r="I139" s="114"/>
      <c r="K139" s="93"/>
      <c r="L139" s="224"/>
      <c r="M139" s="93"/>
      <c r="N139" s="72"/>
      <c r="O139" s="119"/>
      <c r="P139" s="73"/>
      <c r="Q139" s="47"/>
      <c r="R139" s="81"/>
      <c r="S139" s="82"/>
      <c r="T139" s="82"/>
      <c r="U139" s="114"/>
      <c r="W139" s="93"/>
      <c r="X139" s="117"/>
      <c r="Y139" s="25"/>
    </row>
    <row r="140" spans="2:25" ht="12.75">
      <c r="B140" s="72"/>
      <c r="C140" s="119"/>
      <c r="D140" s="73"/>
      <c r="E140" s="47"/>
      <c r="F140" s="81"/>
      <c r="G140" s="82"/>
      <c r="H140" s="82"/>
      <c r="I140" s="114"/>
      <c r="K140" s="93"/>
      <c r="L140" s="224"/>
      <c r="M140" s="93"/>
      <c r="N140" s="72"/>
      <c r="O140" s="119"/>
      <c r="P140" s="73"/>
      <c r="Q140" s="47"/>
      <c r="R140" s="81"/>
      <c r="S140" s="82"/>
      <c r="T140" s="82"/>
      <c r="U140" s="114"/>
      <c r="W140" s="93"/>
      <c r="X140" s="117"/>
      <c r="Y140" s="25"/>
    </row>
    <row r="141" spans="2:25" ht="12.75">
      <c r="B141" s="72"/>
      <c r="C141" s="119"/>
      <c r="D141" s="73"/>
      <c r="E141" s="47"/>
      <c r="F141" s="81"/>
      <c r="G141" s="82"/>
      <c r="H141" s="82"/>
      <c r="I141" s="114"/>
      <c r="K141" s="93"/>
      <c r="L141" s="224"/>
      <c r="M141" s="93"/>
      <c r="N141" s="72"/>
      <c r="O141" s="119"/>
      <c r="P141" s="73"/>
      <c r="Q141" s="47"/>
      <c r="R141" s="81"/>
      <c r="S141" s="82"/>
      <c r="T141" s="82"/>
      <c r="U141" s="114"/>
      <c r="W141" s="93"/>
      <c r="X141" s="117"/>
      <c r="Y141" s="25"/>
    </row>
    <row r="142" spans="2:25" ht="12.75">
      <c r="B142" s="72"/>
      <c r="C142" s="119"/>
      <c r="D142" s="73"/>
      <c r="E142" s="47"/>
      <c r="F142" s="81"/>
      <c r="G142" s="82"/>
      <c r="H142" s="82"/>
      <c r="I142" s="114"/>
      <c r="K142" s="93"/>
      <c r="L142" s="224"/>
      <c r="M142" s="93"/>
      <c r="N142" s="72"/>
      <c r="O142" s="119"/>
      <c r="P142" s="73"/>
      <c r="Q142" s="47"/>
      <c r="R142" s="81"/>
      <c r="S142" s="82"/>
      <c r="T142" s="82"/>
      <c r="U142" s="114"/>
      <c r="W142" s="93"/>
      <c r="X142" s="117"/>
      <c r="Y142" s="25"/>
    </row>
    <row r="143" spans="2:25" ht="12.75">
      <c r="B143" s="72"/>
      <c r="C143" s="119"/>
      <c r="D143" s="73"/>
      <c r="E143" s="47"/>
      <c r="F143" s="81"/>
      <c r="G143" s="82"/>
      <c r="H143" s="82"/>
      <c r="I143" s="114"/>
      <c r="K143" s="93"/>
      <c r="L143" s="224"/>
      <c r="M143" s="93"/>
      <c r="N143" s="72"/>
      <c r="O143" s="119"/>
      <c r="P143" s="73"/>
      <c r="Q143" s="47"/>
      <c r="R143" s="81"/>
      <c r="S143" s="82"/>
      <c r="T143" s="82"/>
      <c r="U143" s="114"/>
      <c r="W143" s="93"/>
      <c r="X143" s="117"/>
      <c r="Y143" s="25"/>
    </row>
    <row r="144" spans="2:25" ht="12.75">
      <c r="B144" s="77"/>
      <c r="C144" s="123"/>
      <c r="D144" s="75"/>
      <c r="E144" s="47"/>
      <c r="F144" s="136"/>
      <c r="G144" s="91"/>
      <c r="H144" s="91"/>
      <c r="I144" s="116"/>
      <c r="K144" s="94"/>
      <c r="L144" s="225"/>
      <c r="M144" s="94"/>
      <c r="N144" s="77"/>
      <c r="O144" s="123"/>
      <c r="P144" s="75"/>
      <c r="Q144" s="47"/>
      <c r="R144" s="136"/>
      <c r="S144" s="91"/>
      <c r="T144" s="91"/>
      <c r="U144" s="116"/>
      <c r="W144" s="94"/>
      <c r="X144" s="152"/>
      <c r="Y144" s="25"/>
    </row>
  </sheetData>
  <sheetProtection/>
  <mergeCells count="76">
    <mergeCell ref="K96:K97"/>
    <mergeCell ref="K75:L75"/>
    <mergeCell ref="M19:M20"/>
    <mergeCell ref="AF2:AG2"/>
    <mergeCell ref="B80:L80"/>
    <mergeCell ref="B95:B96"/>
    <mergeCell ref="G95:G96"/>
    <mergeCell ref="H95:H96"/>
    <mergeCell ref="C95:C96"/>
    <mergeCell ref="K90:K91"/>
    <mergeCell ref="L90:L91"/>
    <mergeCell ref="C19:C20"/>
    <mergeCell ref="K19:K20"/>
    <mergeCell ref="L96:L97"/>
    <mergeCell ref="B73:L73"/>
    <mergeCell ref="B78:C78"/>
    <mergeCell ref="F78:I78"/>
    <mergeCell ref="K78:L78"/>
    <mergeCell ref="B74:L74"/>
    <mergeCell ref="B75:D75"/>
    <mergeCell ref="F75:I75"/>
    <mergeCell ref="N1:X1"/>
    <mergeCell ref="N2:P2"/>
    <mergeCell ref="R2:U2"/>
    <mergeCell ref="W2:X2"/>
    <mergeCell ref="G19:G20"/>
    <mergeCell ref="H19:H20"/>
    <mergeCell ref="W19:W20"/>
    <mergeCell ref="X19:X20"/>
    <mergeCell ref="N37:X37"/>
    <mergeCell ref="N38:O38"/>
    <mergeCell ref="R38:U38"/>
    <mergeCell ref="W38:X38"/>
    <mergeCell ref="N19:N20"/>
    <mergeCell ref="O19:O20"/>
    <mergeCell ref="S19:S20"/>
    <mergeCell ref="T19:T20"/>
    <mergeCell ref="N78:O78"/>
    <mergeCell ref="R78:U78"/>
    <mergeCell ref="W78:X78"/>
    <mergeCell ref="N80:X80"/>
    <mergeCell ref="N73:X73"/>
    <mergeCell ref="N74:X74"/>
    <mergeCell ref="N75:P75"/>
    <mergeCell ref="R75:U75"/>
    <mergeCell ref="W75:X75"/>
    <mergeCell ref="W101:X101"/>
    <mergeCell ref="N109:X109"/>
    <mergeCell ref="W90:W91"/>
    <mergeCell ref="X90:X91"/>
    <mergeCell ref="N95:N96"/>
    <mergeCell ref="O95:O96"/>
    <mergeCell ref="S95:S96"/>
    <mergeCell ref="T95:T96"/>
    <mergeCell ref="W96:W97"/>
    <mergeCell ref="X96:X97"/>
    <mergeCell ref="K2:M2"/>
    <mergeCell ref="B1:M1"/>
    <mergeCell ref="B37:M37"/>
    <mergeCell ref="B38:D38"/>
    <mergeCell ref="K38:M38"/>
    <mergeCell ref="F38:I38"/>
    <mergeCell ref="B2:D2"/>
    <mergeCell ref="B19:B20"/>
    <mergeCell ref="L19:L20"/>
    <mergeCell ref="F2:I2"/>
    <mergeCell ref="N110:O110"/>
    <mergeCell ref="R110:U110"/>
    <mergeCell ref="W110:X110"/>
    <mergeCell ref="B101:L101"/>
    <mergeCell ref="B110:C110"/>
    <mergeCell ref="F110:I110"/>
    <mergeCell ref="B109:M109"/>
    <mergeCell ref="K110:M110"/>
    <mergeCell ref="N101:P101"/>
    <mergeCell ref="R101:U101"/>
  </mergeCells>
  <printOptions/>
  <pageMargins left="0.3937007874015748" right="0.3937007874015748" top="0.984251968503937" bottom="0.984251968503937" header="0.5118110236220472" footer="0.5118110236220472"/>
  <pageSetup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0"/>
  <dimension ref="A1:Z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140625" style="796" customWidth="1"/>
    <col min="2" max="2" width="34.00390625" style="13" customWidth="1"/>
    <col min="3" max="12" width="11.421875" style="53" customWidth="1"/>
    <col min="13" max="14" width="11.421875" style="47" customWidth="1"/>
    <col min="15" max="26" width="0" style="13" hidden="1" customWidth="1"/>
    <col min="27" max="16384" width="11.421875" style="13" customWidth="1"/>
  </cols>
  <sheetData>
    <row r="1" spans="1:26" ht="12.75">
      <c r="A1" s="802" t="s">
        <v>422</v>
      </c>
      <c r="B1" s="28" t="s">
        <v>423</v>
      </c>
      <c r="C1" s="1484" t="s">
        <v>663</v>
      </c>
      <c r="D1" s="1485"/>
      <c r="E1" s="1484" t="s">
        <v>663</v>
      </c>
      <c r="F1" s="1485"/>
      <c r="G1" s="1484" t="s">
        <v>663</v>
      </c>
      <c r="H1" s="1485"/>
      <c r="I1" s="1484" t="s">
        <v>1264</v>
      </c>
      <c r="J1" s="1485"/>
      <c r="K1" s="1484" t="s">
        <v>683</v>
      </c>
      <c r="L1" s="1485"/>
      <c r="M1" s="801"/>
      <c r="N1" s="801"/>
      <c r="O1" s="1484" t="s">
        <v>663</v>
      </c>
      <c r="P1" s="1485"/>
      <c r="Q1" s="1484" t="s">
        <v>663</v>
      </c>
      <c r="R1" s="1485"/>
      <c r="S1" s="1484" t="s">
        <v>316</v>
      </c>
      <c r="T1" s="1485"/>
      <c r="U1" s="1484" t="s">
        <v>316</v>
      </c>
      <c r="V1" s="1485"/>
      <c r="W1" s="1484" t="s">
        <v>316</v>
      </c>
      <c r="X1" s="1485"/>
      <c r="Y1" s="1484" t="s">
        <v>316</v>
      </c>
      <c r="Z1" s="1485"/>
    </row>
    <row r="2" spans="1:26" ht="12.75">
      <c r="A2" s="803"/>
      <c r="B2" s="731"/>
      <c r="C2" s="262" t="s">
        <v>497</v>
      </c>
      <c r="D2" s="711" t="s">
        <v>498</v>
      </c>
      <c r="E2" s="262" t="s">
        <v>682</v>
      </c>
      <c r="F2" s="711" t="s">
        <v>498</v>
      </c>
      <c r="G2" s="262" t="s">
        <v>682</v>
      </c>
      <c r="H2" s="711" t="s">
        <v>498</v>
      </c>
      <c r="I2" s="262" t="s">
        <v>682</v>
      </c>
      <c r="J2" s="711" t="s">
        <v>498</v>
      </c>
      <c r="K2" s="262">
        <v>44566</v>
      </c>
      <c r="L2" s="711">
        <v>44571</v>
      </c>
      <c r="M2" s="44"/>
      <c r="N2" s="44"/>
      <c r="O2" s="262" t="s">
        <v>497</v>
      </c>
      <c r="P2" s="711" t="s">
        <v>498</v>
      </c>
      <c r="Q2" s="262" t="s">
        <v>682</v>
      </c>
      <c r="R2" s="711" t="s">
        <v>498</v>
      </c>
      <c r="S2" s="262">
        <v>44566</v>
      </c>
      <c r="T2" s="711">
        <v>44571</v>
      </c>
      <c r="U2" s="262">
        <v>44566</v>
      </c>
      <c r="V2" s="711">
        <v>44571</v>
      </c>
      <c r="W2" s="262">
        <v>44566</v>
      </c>
      <c r="X2" s="711">
        <v>44571</v>
      </c>
      <c r="Y2" s="262">
        <v>44566</v>
      </c>
      <c r="Z2" s="711">
        <v>44571</v>
      </c>
    </row>
    <row r="3" spans="1:26" ht="12.75">
      <c r="A3" s="799"/>
      <c r="B3" s="23"/>
      <c r="C3" s="805">
        <v>0.196</v>
      </c>
      <c r="D3" s="806">
        <v>0.196</v>
      </c>
      <c r="E3" s="805">
        <v>0.055</v>
      </c>
      <c r="F3" s="806">
        <v>0.055</v>
      </c>
      <c r="G3" s="805"/>
      <c r="H3" s="806"/>
      <c r="I3" s="805"/>
      <c r="J3" s="806"/>
      <c r="K3" s="805"/>
      <c r="L3" s="806"/>
      <c r="M3" s="804"/>
      <c r="N3" s="804"/>
      <c r="O3" s="805">
        <v>0.196</v>
      </c>
      <c r="P3" s="806">
        <v>0.196</v>
      </c>
      <c r="Q3" s="805">
        <v>0.055</v>
      </c>
      <c r="R3" s="806">
        <v>0.055</v>
      </c>
      <c r="S3" s="805">
        <v>0.196</v>
      </c>
      <c r="T3" s="806">
        <v>0.196</v>
      </c>
      <c r="U3" s="805">
        <v>0.055</v>
      </c>
      <c r="V3" s="806">
        <v>0.055</v>
      </c>
      <c r="W3" s="805"/>
      <c r="X3" s="806"/>
      <c r="Y3" s="805"/>
      <c r="Z3" s="806"/>
    </row>
    <row r="4" spans="1:26" ht="12.75">
      <c r="A4" s="799"/>
      <c r="B4" s="23"/>
      <c r="C4" s="48"/>
      <c r="D4" s="46"/>
      <c r="E4" s="48"/>
      <c r="F4" s="46"/>
      <c r="G4" s="48"/>
      <c r="H4" s="46"/>
      <c r="I4" s="48"/>
      <c r="J4" s="46"/>
      <c r="K4" s="48"/>
      <c r="L4" s="46"/>
      <c r="O4" s="29"/>
      <c r="P4" s="23"/>
      <c r="Q4" s="29"/>
      <c r="R4" s="23"/>
      <c r="S4" s="29"/>
      <c r="T4" s="23"/>
      <c r="U4" s="29"/>
      <c r="V4" s="23"/>
      <c r="W4" s="29"/>
      <c r="X4" s="23"/>
      <c r="Y4" s="29"/>
      <c r="Z4" s="23"/>
    </row>
    <row r="5" spans="1:26" ht="12.75">
      <c r="A5" s="799">
        <v>101000</v>
      </c>
      <c r="B5" s="23" t="s">
        <v>670</v>
      </c>
      <c r="C5" s="48">
        <v>17000</v>
      </c>
      <c r="D5" s="46">
        <v>26000</v>
      </c>
      <c r="E5" s="48">
        <v>45000</v>
      </c>
      <c r="F5" s="46">
        <v>26000</v>
      </c>
      <c r="G5" s="48">
        <f>C5+E5</f>
        <v>62000</v>
      </c>
      <c r="H5" s="46">
        <f>D5+G5</f>
        <v>88000</v>
      </c>
      <c r="I5" s="48">
        <f>IF(G5-H5&gt;0,G5-H5,0)</f>
        <v>0</v>
      </c>
      <c r="J5" s="46">
        <f>IF(H5-G5&gt;0,H5-G5,0)</f>
        <v>26000</v>
      </c>
      <c r="K5" s="48">
        <f>Y5</f>
        <v>0</v>
      </c>
      <c r="L5" s="46">
        <f>Z5</f>
        <v>719</v>
      </c>
      <c r="O5" s="48">
        <f>IF(C5-D5&gt;0,C5-D5,0)</f>
        <v>0</v>
      </c>
      <c r="P5" s="46">
        <f>IF(D5-C5&gt;0,D5-C5,0)</f>
        <v>9000</v>
      </c>
      <c r="Q5" s="48">
        <f>IF(E5-F5&gt;0,E5-F5,0)</f>
        <v>19000</v>
      </c>
      <c r="R5" s="46">
        <f>IF(F5-E5&gt;0,F5-E5,0)</f>
        <v>0</v>
      </c>
      <c r="S5" s="48">
        <f>$S$3*O5</f>
        <v>0</v>
      </c>
      <c r="T5" s="46">
        <f>$T$3*$P$5</f>
        <v>1764</v>
      </c>
      <c r="U5" s="48">
        <f>$U$3*Q5</f>
        <v>1045</v>
      </c>
      <c r="V5" s="46">
        <f>$V$3*R5</f>
        <v>0</v>
      </c>
      <c r="W5" s="48">
        <f>S5+U5</f>
        <v>1045</v>
      </c>
      <c r="X5" s="46">
        <f>T5+V5</f>
        <v>1764</v>
      </c>
      <c r="Y5" s="48">
        <f>IF(W5-X5&gt;0,W5-X5,0)</f>
        <v>0</v>
      </c>
      <c r="Z5" s="46">
        <f>IF(X5-W5&gt;0,X5-W5,0)</f>
        <v>719</v>
      </c>
    </row>
    <row r="6" spans="1:26" ht="12.75">
      <c r="A6" s="799">
        <v>106100</v>
      </c>
      <c r="B6" s="23" t="s">
        <v>1041</v>
      </c>
      <c r="C6" s="48">
        <v>0</v>
      </c>
      <c r="D6" s="46">
        <v>0</v>
      </c>
      <c r="E6" s="48">
        <v>0</v>
      </c>
      <c r="F6" s="46">
        <v>0</v>
      </c>
      <c r="G6" s="48">
        <v>0</v>
      </c>
      <c r="H6" s="46">
        <v>0</v>
      </c>
      <c r="I6" s="48">
        <f aca="true" t="shared" si="0" ref="I6:I69">IF(G6-H6&gt;0,G6-H6,0)</f>
        <v>0</v>
      </c>
      <c r="J6" s="46">
        <f aca="true" t="shared" si="1" ref="J6:J69">IF(H6-G6&gt;0,H6-G6,0)</f>
        <v>0</v>
      </c>
      <c r="K6" s="48">
        <f aca="true" t="shared" si="2" ref="K6:K69">Y6</f>
        <v>0</v>
      </c>
      <c r="L6" s="46">
        <f aca="true" t="shared" si="3" ref="L6:L69">Z6</f>
        <v>1764</v>
      </c>
      <c r="O6" s="48">
        <f aca="true" t="shared" si="4" ref="O6:O69">IF(C6-D6&gt;0,C6-D6,0)</f>
        <v>0</v>
      </c>
      <c r="P6" s="46">
        <f aca="true" t="shared" si="5" ref="P6:P69">IF(D6-C6&gt;0,D6-C6,0)</f>
        <v>0</v>
      </c>
      <c r="Q6" s="48">
        <f aca="true" t="shared" si="6" ref="Q6:Q69">IF(E6-F6&gt;0,E6-F6,0)</f>
        <v>0</v>
      </c>
      <c r="R6" s="46">
        <f aca="true" t="shared" si="7" ref="R6:R69">IF(F6-E6&gt;0,F6-E6,0)</f>
        <v>0</v>
      </c>
      <c r="S6" s="48">
        <f aca="true" t="shared" si="8" ref="S6:S69">$S$3*O6</f>
        <v>0</v>
      </c>
      <c r="T6" s="46">
        <f aca="true" t="shared" si="9" ref="T6:T69">$T$3*$P$5</f>
        <v>1764</v>
      </c>
      <c r="U6" s="48">
        <f aca="true" t="shared" si="10" ref="U6:U69">$U$3*Q6</f>
        <v>0</v>
      </c>
      <c r="V6" s="46">
        <f aca="true" t="shared" si="11" ref="V6:V69">$V$3*R6</f>
        <v>0</v>
      </c>
      <c r="W6" s="48">
        <f aca="true" t="shared" si="12" ref="W6:W69">S6+U6</f>
        <v>0</v>
      </c>
      <c r="X6" s="46">
        <f aca="true" t="shared" si="13" ref="X6:X69">T6+V6</f>
        <v>1764</v>
      </c>
      <c r="Y6" s="48">
        <f aca="true" t="shared" si="14" ref="Y6:Y69">IF(W6-X6&gt;0,W6-X6,0)</f>
        <v>0</v>
      </c>
      <c r="Z6" s="46">
        <f aca="true" t="shared" si="15" ref="Z6:Z69">IF(X6-W6&gt;0,X6-W6,0)</f>
        <v>1764</v>
      </c>
    </row>
    <row r="7" spans="1:26" ht="12.75">
      <c r="A7" s="799">
        <v>106800</v>
      </c>
      <c r="B7" s="23" t="s">
        <v>671</v>
      </c>
      <c r="C7" s="48">
        <v>0</v>
      </c>
      <c r="D7" s="46">
        <v>0</v>
      </c>
      <c r="E7" s="48">
        <v>0</v>
      </c>
      <c r="F7" s="46">
        <v>0</v>
      </c>
      <c r="G7" s="48">
        <v>0</v>
      </c>
      <c r="H7" s="46">
        <v>0</v>
      </c>
      <c r="I7" s="48">
        <f t="shared" si="0"/>
        <v>0</v>
      </c>
      <c r="J7" s="46">
        <f t="shared" si="1"/>
        <v>0</v>
      </c>
      <c r="K7" s="48">
        <f t="shared" si="2"/>
        <v>0</v>
      </c>
      <c r="L7" s="46">
        <f t="shared" si="3"/>
        <v>1764</v>
      </c>
      <c r="O7" s="48">
        <f t="shared" si="4"/>
        <v>0</v>
      </c>
      <c r="P7" s="46">
        <f t="shared" si="5"/>
        <v>0</v>
      </c>
      <c r="Q7" s="48">
        <f t="shared" si="6"/>
        <v>0</v>
      </c>
      <c r="R7" s="46">
        <f t="shared" si="7"/>
        <v>0</v>
      </c>
      <c r="S7" s="48">
        <f t="shared" si="8"/>
        <v>0</v>
      </c>
      <c r="T7" s="46">
        <f t="shared" si="9"/>
        <v>1764</v>
      </c>
      <c r="U7" s="48">
        <f t="shared" si="10"/>
        <v>0</v>
      </c>
      <c r="V7" s="46">
        <f t="shared" si="11"/>
        <v>0</v>
      </c>
      <c r="W7" s="48">
        <f t="shared" si="12"/>
        <v>0</v>
      </c>
      <c r="X7" s="46">
        <f t="shared" si="13"/>
        <v>1764</v>
      </c>
      <c r="Y7" s="48">
        <f t="shared" si="14"/>
        <v>0</v>
      </c>
      <c r="Z7" s="46">
        <f t="shared" si="15"/>
        <v>1764</v>
      </c>
    </row>
    <row r="8" spans="1:26" ht="12.75">
      <c r="A8" s="799">
        <v>151000</v>
      </c>
      <c r="B8" s="23" t="s">
        <v>1053</v>
      </c>
      <c r="C8" s="48">
        <v>0</v>
      </c>
      <c r="D8" s="46">
        <v>0</v>
      </c>
      <c r="E8" s="48">
        <v>0</v>
      </c>
      <c r="F8" s="46">
        <v>0</v>
      </c>
      <c r="G8" s="48">
        <v>0</v>
      </c>
      <c r="H8" s="46">
        <v>0</v>
      </c>
      <c r="I8" s="48">
        <f t="shared" si="0"/>
        <v>0</v>
      </c>
      <c r="J8" s="46">
        <f t="shared" si="1"/>
        <v>0</v>
      </c>
      <c r="K8" s="48">
        <f t="shared" si="2"/>
        <v>0</v>
      </c>
      <c r="L8" s="46">
        <f t="shared" si="3"/>
        <v>1764</v>
      </c>
      <c r="O8" s="48">
        <f t="shared" si="4"/>
        <v>0</v>
      </c>
      <c r="P8" s="46">
        <f t="shared" si="5"/>
        <v>0</v>
      </c>
      <c r="Q8" s="48">
        <f t="shared" si="6"/>
        <v>0</v>
      </c>
      <c r="R8" s="46">
        <f t="shared" si="7"/>
        <v>0</v>
      </c>
      <c r="S8" s="48">
        <f t="shared" si="8"/>
        <v>0</v>
      </c>
      <c r="T8" s="46">
        <f t="shared" si="9"/>
        <v>1764</v>
      </c>
      <c r="U8" s="48">
        <f t="shared" si="10"/>
        <v>0</v>
      </c>
      <c r="V8" s="46">
        <f t="shared" si="11"/>
        <v>0</v>
      </c>
      <c r="W8" s="48">
        <f t="shared" si="12"/>
        <v>0</v>
      </c>
      <c r="X8" s="46">
        <f t="shared" si="13"/>
        <v>1764</v>
      </c>
      <c r="Y8" s="48">
        <f t="shared" si="14"/>
        <v>0</v>
      </c>
      <c r="Z8" s="46">
        <f t="shared" si="15"/>
        <v>1764</v>
      </c>
    </row>
    <row r="9" spans="1:26" ht="12.75">
      <c r="A9" s="799">
        <v>164000</v>
      </c>
      <c r="B9" s="23" t="s">
        <v>672</v>
      </c>
      <c r="C9" s="48">
        <v>0</v>
      </c>
      <c r="D9" s="46">
        <v>0</v>
      </c>
      <c r="E9" s="48">
        <v>0</v>
      </c>
      <c r="F9" s="46">
        <v>0</v>
      </c>
      <c r="G9" s="48">
        <v>0</v>
      </c>
      <c r="H9" s="46">
        <v>0</v>
      </c>
      <c r="I9" s="48">
        <f t="shared" si="0"/>
        <v>0</v>
      </c>
      <c r="J9" s="46">
        <f t="shared" si="1"/>
        <v>0</v>
      </c>
      <c r="K9" s="48">
        <f t="shared" si="2"/>
        <v>0</v>
      </c>
      <c r="L9" s="46">
        <f t="shared" si="3"/>
        <v>1764</v>
      </c>
      <c r="O9" s="48">
        <f t="shared" si="4"/>
        <v>0</v>
      </c>
      <c r="P9" s="46">
        <f t="shared" si="5"/>
        <v>0</v>
      </c>
      <c r="Q9" s="48">
        <f t="shared" si="6"/>
        <v>0</v>
      </c>
      <c r="R9" s="46">
        <f t="shared" si="7"/>
        <v>0</v>
      </c>
      <c r="S9" s="48">
        <f t="shared" si="8"/>
        <v>0</v>
      </c>
      <c r="T9" s="46">
        <f t="shared" si="9"/>
        <v>1764</v>
      </c>
      <c r="U9" s="48">
        <f t="shared" si="10"/>
        <v>0</v>
      </c>
      <c r="V9" s="46">
        <f t="shared" si="11"/>
        <v>0</v>
      </c>
      <c r="W9" s="48">
        <f t="shared" si="12"/>
        <v>0</v>
      </c>
      <c r="X9" s="46">
        <f t="shared" si="13"/>
        <v>1764</v>
      </c>
      <c r="Y9" s="48">
        <f t="shared" si="14"/>
        <v>0</v>
      </c>
      <c r="Z9" s="46">
        <f t="shared" si="15"/>
        <v>1764</v>
      </c>
    </row>
    <row r="10" spans="1:26" ht="12.75">
      <c r="A10" s="800"/>
      <c r="B10" s="23"/>
      <c r="C10" s="48">
        <v>0</v>
      </c>
      <c r="D10" s="46">
        <v>0</v>
      </c>
      <c r="E10" s="48">
        <v>0</v>
      </c>
      <c r="F10" s="46">
        <v>0</v>
      </c>
      <c r="G10" s="48">
        <v>0</v>
      </c>
      <c r="H10" s="46">
        <v>0</v>
      </c>
      <c r="I10" s="48">
        <f t="shared" si="0"/>
        <v>0</v>
      </c>
      <c r="J10" s="46">
        <f t="shared" si="1"/>
        <v>0</v>
      </c>
      <c r="K10" s="48">
        <f t="shared" si="2"/>
        <v>0</v>
      </c>
      <c r="L10" s="46">
        <f t="shared" si="3"/>
        <v>1764</v>
      </c>
      <c r="O10" s="48">
        <f t="shared" si="4"/>
        <v>0</v>
      </c>
      <c r="P10" s="46">
        <f t="shared" si="5"/>
        <v>0</v>
      </c>
      <c r="Q10" s="48">
        <f t="shared" si="6"/>
        <v>0</v>
      </c>
      <c r="R10" s="46">
        <f t="shared" si="7"/>
        <v>0</v>
      </c>
      <c r="S10" s="48">
        <f t="shared" si="8"/>
        <v>0</v>
      </c>
      <c r="T10" s="46">
        <f t="shared" si="9"/>
        <v>1764</v>
      </c>
      <c r="U10" s="48">
        <f t="shared" si="10"/>
        <v>0</v>
      </c>
      <c r="V10" s="46">
        <f t="shared" si="11"/>
        <v>0</v>
      </c>
      <c r="W10" s="48">
        <f t="shared" si="12"/>
        <v>0</v>
      </c>
      <c r="X10" s="46">
        <f t="shared" si="13"/>
        <v>1764</v>
      </c>
      <c r="Y10" s="48">
        <f t="shared" si="14"/>
        <v>0</v>
      </c>
      <c r="Z10" s="46">
        <f t="shared" si="15"/>
        <v>1764</v>
      </c>
    </row>
    <row r="11" spans="1:26" ht="12.75">
      <c r="A11" s="1486" t="s">
        <v>664</v>
      </c>
      <c r="B11" s="1487"/>
      <c r="C11" s="401">
        <f>SUM(C5:C10)</f>
        <v>17000</v>
      </c>
      <c r="D11" s="797">
        <f aca="true" t="shared" si="16" ref="D11:L11">SUM(D5:D10)</f>
        <v>26000</v>
      </c>
      <c r="E11" s="401">
        <f t="shared" si="16"/>
        <v>45000</v>
      </c>
      <c r="F11" s="797">
        <f t="shared" si="16"/>
        <v>26000</v>
      </c>
      <c r="G11" s="401">
        <f t="shared" si="16"/>
        <v>62000</v>
      </c>
      <c r="H11" s="797">
        <f t="shared" si="16"/>
        <v>88000</v>
      </c>
      <c r="I11" s="401">
        <f t="shared" si="16"/>
        <v>0</v>
      </c>
      <c r="J11" s="797">
        <f t="shared" si="16"/>
        <v>26000</v>
      </c>
      <c r="K11" s="401">
        <f t="shared" si="16"/>
        <v>0</v>
      </c>
      <c r="L11" s="797">
        <f t="shared" si="16"/>
        <v>9539</v>
      </c>
      <c r="O11" s="48">
        <f t="shared" si="4"/>
        <v>0</v>
      </c>
      <c r="P11" s="46">
        <f t="shared" si="5"/>
        <v>9000</v>
      </c>
      <c r="Q11" s="48">
        <f t="shared" si="6"/>
        <v>19000</v>
      </c>
      <c r="R11" s="46">
        <f t="shared" si="7"/>
        <v>0</v>
      </c>
      <c r="S11" s="48">
        <f t="shared" si="8"/>
        <v>0</v>
      </c>
      <c r="T11" s="46">
        <f t="shared" si="9"/>
        <v>1764</v>
      </c>
      <c r="U11" s="48">
        <f t="shared" si="10"/>
        <v>1045</v>
      </c>
      <c r="V11" s="46">
        <f t="shared" si="11"/>
        <v>0</v>
      </c>
      <c r="W11" s="48">
        <f t="shared" si="12"/>
        <v>1045</v>
      </c>
      <c r="X11" s="46">
        <f t="shared" si="13"/>
        <v>1764</v>
      </c>
      <c r="Y11" s="48">
        <f t="shared" si="14"/>
        <v>0</v>
      </c>
      <c r="Z11" s="46">
        <f t="shared" si="15"/>
        <v>719</v>
      </c>
    </row>
    <row r="12" spans="1:26" ht="12.75">
      <c r="A12" s="33"/>
      <c r="B12" s="731"/>
      <c r="C12" s="48">
        <v>0</v>
      </c>
      <c r="D12" s="46">
        <v>0</v>
      </c>
      <c r="E12" s="48">
        <v>0</v>
      </c>
      <c r="F12" s="46">
        <v>0</v>
      </c>
      <c r="G12" s="48">
        <v>0</v>
      </c>
      <c r="H12" s="46">
        <v>0</v>
      </c>
      <c r="I12" s="48">
        <f t="shared" si="0"/>
        <v>0</v>
      </c>
      <c r="J12" s="46">
        <f t="shared" si="1"/>
        <v>0</v>
      </c>
      <c r="K12" s="48">
        <f t="shared" si="2"/>
        <v>0</v>
      </c>
      <c r="L12" s="46">
        <f t="shared" si="3"/>
        <v>1764</v>
      </c>
      <c r="O12" s="48">
        <f t="shared" si="4"/>
        <v>0</v>
      </c>
      <c r="P12" s="46">
        <f t="shared" si="5"/>
        <v>0</v>
      </c>
      <c r="Q12" s="48">
        <f t="shared" si="6"/>
        <v>0</v>
      </c>
      <c r="R12" s="46">
        <f t="shared" si="7"/>
        <v>0</v>
      </c>
      <c r="S12" s="48">
        <f t="shared" si="8"/>
        <v>0</v>
      </c>
      <c r="T12" s="46">
        <f t="shared" si="9"/>
        <v>1764</v>
      </c>
      <c r="U12" s="48">
        <f t="shared" si="10"/>
        <v>0</v>
      </c>
      <c r="V12" s="46">
        <f t="shared" si="11"/>
        <v>0</v>
      </c>
      <c r="W12" s="48">
        <f t="shared" si="12"/>
        <v>0</v>
      </c>
      <c r="X12" s="46">
        <f t="shared" si="13"/>
        <v>1764</v>
      </c>
      <c r="Y12" s="48">
        <f t="shared" si="14"/>
        <v>0</v>
      </c>
      <c r="Z12" s="46">
        <f t="shared" si="15"/>
        <v>1764</v>
      </c>
    </row>
    <row r="13" spans="1:26" ht="12.75">
      <c r="A13" s="799">
        <v>207000</v>
      </c>
      <c r="B13" s="23" t="s">
        <v>673</v>
      </c>
      <c r="C13" s="48">
        <v>0</v>
      </c>
      <c r="D13" s="46">
        <v>0</v>
      </c>
      <c r="E13" s="48">
        <v>0</v>
      </c>
      <c r="F13" s="46">
        <v>0</v>
      </c>
      <c r="G13" s="48">
        <v>0</v>
      </c>
      <c r="H13" s="46">
        <v>0</v>
      </c>
      <c r="I13" s="48">
        <f t="shared" si="0"/>
        <v>0</v>
      </c>
      <c r="J13" s="46">
        <f t="shared" si="1"/>
        <v>0</v>
      </c>
      <c r="K13" s="48">
        <f t="shared" si="2"/>
        <v>0</v>
      </c>
      <c r="L13" s="46">
        <f t="shared" si="3"/>
        <v>1764</v>
      </c>
      <c r="O13" s="48">
        <f t="shared" si="4"/>
        <v>0</v>
      </c>
      <c r="P13" s="46">
        <f t="shared" si="5"/>
        <v>0</v>
      </c>
      <c r="Q13" s="48">
        <f t="shared" si="6"/>
        <v>0</v>
      </c>
      <c r="R13" s="46">
        <f t="shared" si="7"/>
        <v>0</v>
      </c>
      <c r="S13" s="48">
        <f t="shared" si="8"/>
        <v>0</v>
      </c>
      <c r="T13" s="46">
        <f t="shared" si="9"/>
        <v>1764</v>
      </c>
      <c r="U13" s="48">
        <f t="shared" si="10"/>
        <v>0</v>
      </c>
      <c r="V13" s="46">
        <f t="shared" si="11"/>
        <v>0</v>
      </c>
      <c r="W13" s="48">
        <f t="shared" si="12"/>
        <v>0</v>
      </c>
      <c r="X13" s="46">
        <f t="shared" si="13"/>
        <v>1764</v>
      </c>
      <c r="Y13" s="48">
        <f t="shared" si="14"/>
        <v>0</v>
      </c>
      <c r="Z13" s="46">
        <f t="shared" si="15"/>
        <v>1764</v>
      </c>
    </row>
    <row r="14" spans="1:26" ht="12.75">
      <c r="A14" s="799">
        <v>211000</v>
      </c>
      <c r="B14" s="23" t="s">
        <v>674</v>
      </c>
      <c r="C14" s="48">
        <v>0</v>
      </c>
      <c r="D14" s="46">
        <v>0</v>
      </c>
      <c r="E14" s="48">
        <v>0</v>
      </c>
      <c r="F14" s="46">
        <v>0</v>
      </c>
      <c r="G14" s="48">
        <v>0</v>
      </c>
      <c r="H14" s="46">
        <v>0</v>
      </c>
      <c r="I14" s="48">
        <f t="shared" si="0"/>
        <v>0</v>
      </c>
      <c r="J14" s="46">
        <f t="shared" si="1"/>
        <v>0</v>
      </c>
      <c r="K14" s="48">
        <f t="shared" si="2"/>
        <v>0</v>
      </c>
      <c r="L14" s="46">
        <f t="shared" si="3"/>
        <v>1764</v>
      </c>
      <c r="O14" s="48">
        <f t="shared" si="4"/>
        <v>0</v>
      </c>
      <c r="P14" s="46">
        <f t="shared" si="5"/>
        <v>0</v>
      </c>
      <c r="Q14" s="48">
        <f t="shared" si="6"/>
        <v>0</v>
      </c>
      <c r="R14" s="46">
        <f t="shared" si="7"/>
        <v>0</v>
      </c>
      <c r="S14" s="48">
        <f t="shared" si="8"/>
        <v>0</v>
      </c>
      <c r="T14" s="46">
        <f t="shared" si="9"/>
        <v>1764</v>
      </c>
      <c r="U14" s="48">
        <f t="shared" si="10"/>
        <v>0</v>
      </c>
      <c r="V14" s="46">
        <f t="shared" si="11"/>
        <v>0</v>
      </c>
      <c r="W14" s="48">
        <f t="shared" si="12"/>
        <v>0</v>
      </c>
      <c r="X14" s="46">
        <f t="shared" si="13"/>
        <v>1764</v>
      </c>
      <c r="Y14" s="48">
        <f t="shared" si="14"/>
        <v>0</v>
      </c>
      <c r="Z14" s="46">
        <f t="shared" si="15"/>
        <v>1764</v>
      </c>
    </row>
    <row r="15" spans="1:26" ht="12.75">
      <c r="A15" s="799">
        <v>213000</v>
      </c>
      <c r="B15" s="23" t="s">
        <v>1046</v>
      </c>
      <c r="C15" s="48">
        <v>0</v>
      </c>
      <c r="D15" s="46">
        <v>0</v>
      </c>
      <c r="E15" s="48">
        <v>0</v>
      </c>
      <c r="F15" s="46">
        <v>0</v>
      </c>
      <c r="G15" s="48">
        <v>0</v>
      </c>
      <c r="H15" s="46">
        <v>0</v>
      </c>
      <c r="I15" s="48">
        <f t="shared" si="0"/>
        <v>0</v>
      </c>
      <c r="J15" s="46">
        <f t="shared" si="1"/>
        <v>0</v>
      </c>
      <c r="K15" s="48">
        <f t="shared" si="2"/>
        <v>0</v>
      </c>
      <c r="L15" s="46">
        <f t="shared" si="3"/>
        <v>1764</v>
      </c>
      <c r="O15" s="48">
        <f t="shared" si="4"/>
        <v>0</v>
      </c>
      <c r="P15" s="46">
        <f t="shared" si="5"/>
        <v>0</v>
      </c>
      <c r="Q15" s="48">
        <f t="shared" si="6"/>
        <v>0</v>
      </c>
      <c r="R15" s="46">
        <f t="shared" si="7"/>
        <v>0</v>
      </c>
      <c r="S15" s="48">
        <f t="shared" si="8"/>
        <v>0</v>
      </c>
      <c r="T15" s="46">
        <f t="shared" si="9"/>
        <v>1764</v>
      </c>
      <c r="U15" s="48">
        <f t="shared" si="10"/>
        <v>0</v>
      </c>
      <c r="V15" s="46">
        <f t="shared" si="11"/>
        <v>0</v>
      </c>
      <c r="W15" s="48">
        <f t="shared" si="12"/>
        <v>0</v>
      </c>
      <c r="X15" s="46">
        <f t="shared" si="13"/>
        <v>1764</v>
      </c>
      <c r="Y15" s="48">
        <f t="shared" si="14"/>
        <v>0</v>
      </c>
      <c r="Z15" s="46">
        <f t="shared" si="15"/>
        <v>1764</v>
      </c>
    </row>
    <row r="16" spans="1:26" ht="12.75">
      <c r="A16" s="799">
        <v>215400</v>
      </c>
      <c r="B16" s="23" t="s">
        <v>675</v>
      </c>
      <c r="C16" s="48">
        <v>0</v>
      </c>
      <c r="D16" s="46">
        <v>0</v>
      </c>
      <c r="E16" s="48">
        <v>0</v>
      </c>
      <c r="F16" s="46">
        <v>0</v>
      </c>
      <c r="G16" s="48">
        <v>0</v>
      </c>
      <c r="H16" s="46">
        <v>0</v>
      </c>
      <c r="I16" s="48">
        <f t="shared" si="0"/>
        <v>0</v>
      </c>
      <c r="J16" s="46">
        <f t="shared" si="1"/>
        <v>0</v>
      </c>
      <c r="K16" s="48">
        <f t="shared" si="2"/>
        <v>0</v>
      </c>
      <c r="L16" s="46">
        <f t="shared" si="3"/>
        <v>1764</v>
      </c>
      <c r="O16" s="48">
        <f t="shared" si="4"/>
        <v>0</v>
      </c>
      <c r="P16" s="46">
        <f t="shared" si="5"/>
        <v>0</v>
      </c>
      <c r="Q16" s="48">
        <f t="shared" si="6"/>
        <v>0</v>
      </c>
      <c r="R16" s="46">
        <f t="shared" si="7"/>
        <v>0</v>
      </c>
      <c r="S16" s="48">
        <f t="shared" si="8"/>
        <v>0</v>
      </c>
      <c r="T16" s="46">
        <f t="shared" si="9"/>
        <v>1764</v>
      </c>
      <c r="U16" s="48">
        <f t="shared" si="10"/>
        <v>0</v>
      </c>
      <c r="V16" s="46">
        <f t="shared" si="11"/>
        <v>0</v>
      </c>
      <c r="W16" s="48">
        <f t="shared" si="12"/>
        <v>0</v>
      </c>
      <c r="X16" s="46">
        <f t="shared" si="13"/>
        <v>1764</v>
      </c>
      <c r="Y16" s="48">
        <f t="shared" si="14"/>
        <v>0</v>
      </c>
      <c r="Z16" s="46">
        <f t="shared" si="15"/>
        <v>1764</v>
      </c>
    </row>
    <row r="17" spans="1:26" ht="12.75">
      <c r="A17" s="799">
        <v>218000</v>
      </c>
      <c r="B17" s="23" t="s">
        <v>676</v>
      </c>
      <c r="C17" s="48">
        <v>0</v>
      </c>
      <c r="D17" s="46">
        <v>0</v>
      </c>
      <c r="E17" s="48">
        <v>0</v>
      </c>
      <c r="F17" s="46">
        <v>0</v>
      </c>
      <c r="G17" s="48">
        <v>0</v>
      </c>
      <c r="H17" s="46">
        <v>0</v>
      </c>
      <c r="I17" s="48">
        <f t="shared" si="0"/>
        <v>0</v>
      </c>
      <c r="J17" s="46">
        <f t="shared" si="1"/>
        <v>0</v>
      </c>
      <c r="K17" s="48">
        <f t="shared" si="2"/>
        <v>0</v>
      </c>
      <c r="L17" s="46">
        <f t="shared" si="3"/>
        <v>1764</v>
      </c>
      <c r="O17" s="48">
        <f t="shared" si="4"/>
        <v>0</v>
      </c>
      <c r="P17" s="46">
        <f t="shared" si="5"/>
        <v>0</v>
      </c>
      <c r="Q17" s="48">
        <f t="shared" si="6"/>
        <v>0</v>
      </c>
      <c r="R17" s="46">
        <f t="shared" si="7"/>
        <v>0</v>
      </c>
      <c r="S17" s="48">
        <f t="shared" si="8"/>
        <v>0</v>
      </c>
      <c r="T17" s="46">
        <f t="shared" si="9"/>
        <v>1764</v>
      </c>
      <c r="U17" s="48">
        <f t="shared" si="10"/>
        <v>0</v>
      </c>
      <c r="V17" s="46">
        <f t="shared" si="11"/>
        <v>0</v>
      </c>
      <c r="W17" s="48">
        <f t="shared" si="12"/>
        <v>0</v>
      </c>
      <c r="X17" s="46">
        <f t="shared" si="13"/>
        <v>1764</v>
      </c>
      <c r="Y17" s="48">
        <f t="shared" si="14"/>
        <v>0</v>
      </c>
      <c r="Z17" s="46">
        <f t="shared" si="15"/>
        <v>1764</v>
      </c>
    </row>
    <row r="18" spans="1:26" ht="12.75">
      <c r="A18" s="799">
        <v>281540</v>
      </c>
      <c r="B18" s="23" t="s">
        <v>680</v>
      </c>
      <c r="C18" s="48">
        <v>0</v>
      </c>
      <c r="D18" s="46">
        <v>0</v>
      </c>
      <c r="E18" s="48">
        <v>0</v>
      </c>
      <c r="F18" s="46">
        <v>0</v>
      </c>
      <c r="G18" s="48">
        <v>0</v>
      </c>
      <c r="H18" s="46">
        <v>0</v>
      </c>
      <c r="I18" s="48">
        <f t="shared" si="0"/>
        <v>0</v>
      </c>
      <c r="J18" s="46">
        <f t="shared" si="1"/>
        <v>0</v>
      </c>
      <c r="K18" s="48">
        <f t="shared" si="2"/>
        <v>0</v>
      </c>
      <c r="L18" s="46">
        <f t="shared" si="3"/>
        <v>1764</v>
      </c>
      <c r="O18" s="48">
        <f t="shared" si="4"/>
        <v>0</v>
      </c>
      <c r="P18" s="46">
        <f t="shared" si="5"/>
        <v>0</v>
      </c>
      <c r="Q18" s="48">
        <f t="shared" si="6"/>
        <v>0</v>
      </c>
      <c r="R18" s="46">
        <f t="shared" si="7"/>
        <v>0</v>
      </c>
      <c r="S18" s="48">
        <f t="shared" si="8"/>
        <v>0</v>
      </c>
      <c r="T18" s="46">
        <f t="shared" si="9"/>
        <v>1764</v>
      </c>
      <c r="U18" s="48">
        <f t="shared" si="10"/>
        <v>0</v>
      </c>
      <c r="V18" s="46">
        <f t="shared" si="11"/>
        <v>0</v>
      </c>
      <c r="W18" s="48">
        <f t="shared" si="12"/>
        <v>0</v>
      </c>
      <c r="X18" s="46">
        <f t="shared" si="13"/>
        <v>1764</v>
      </c>
      <c r="Y18" s="48">
        <f t="shared" si="14"/>
        <v>0</v>
      </c>
      <c r="Z18" s="46">
        <f t="shared" si="15"/>
        <v>1764</v>
      </c>
    </row>
    <row r="19" spans="1:26" ht="12.75">
      <c r="A19" s="799">
        <v>281800</v>
      </c>
      <c r="B19" s="23" t="s">
        <v>681</v>
      </c>
      <c r="C19" s="48">
        <v>0</v>
      </c>
      <c r="D19" s="46">
        <v>0</v>
      </c>
      <c r="E19" s="48">
        <v>0</v>
      </c>
      <c r="F19" s="46">
        <v>0</v>
      </c>
      <c r="G19" s="48">
        <v>0</v>
      </c>
      <c r="H19" s="46">
        <v>0</v>
      </c>
      <c r="I19" s="48">
        <f t="shared" si="0"/>
        <v>0</v>
      </c>
      <c r="J19" s="46">
        <f t="shared" si="1"/>
        <v>0</v>
      </c>
      <c r="K19" s="48">
        <f t="shared" si="2"/>
        <v>0</v>
      </c>
      <c r="L19" s="46">
        <f t="shared" si="3"/>
        <v>1764</v>
      </c>
      <c r="O19" s="48">
        <f t="shared" si="4"/>
        <v>0</v>
      </c>
      <c r="P19" s="46">
        <f t="shared" si="5"/>
        <v>0</v>
      </c>
      <c r="Q19" s="48">
        <f t="shared" si="6"/>
        <v>0</v>
      </c>
      <c r="R19" s="46">
        <f t="shared" si="7"/>
        <v>0</v>
      </c>
      <c r="S19" s="48">
        <f t="shared" si="8"/>
        <v>0</v>
      </c>
      <c r="T19" s="46">
        <f t="shared" si="9"/>
        <v>1764</v>
      </c>
      <c r="U19" s="48">
        <f t="shared" si="10"/>
        <v>0</v>
      </c>
      <c r="V19" s="46">
        <f t="shared" si="11"/>
        <v>0</v>
      </c>
      <c r="W19" s="48">
        <f t="shared" si="12"/>
        <v>0</v>
      </c>
      <c r="X19" s="46">
        <f t="shared" si="13"/>
        <v>1764</v>
      </c>
      <c r="Y19" s="48">
        <f t="shared" si="14"/>
        <v>0</v>
      </c>
      <c r="Z19" s="46">
        <f t="shared" si="15"/>
        <v>1764</v>
      </c>
    </row>
    <row r="20" spans="1:26" ht="12.75">
      <c r="A20" s="800"/>
      <c r="B20" s="23"/>
      <c r="C20" s="48">
        <v>0</v>
      </c>
      <c r="D20" s="46">
        <v>0</v>
      </c>
      <c r="E20" s="48">
        <v>0</v>
      </c>
      <c r="F20" s="46">
        <v>0</v>
      </c>
      <c r="G20" s="48">
        <v>0</v>
      </c>
      <c r="H20" s="46">
        <v>0</v>
      </c>
      <c r="I20" s="48">
        <f t="shared" si="0"/>
        <v>0</v>
      </c>
      <c r="J20" s="46">
        <f t="shared" si="1"/>
        <v>0</v>
      </c>
      <c r="K20" s="48">
        <f t="shared" si="2"/>
        <v>0</v>
      </c>
      <c r="L20" s="46">
        <f t="shared" si="3"/>
        <v>1764</v>
      </c>
      <c r="O20" s="48">
        <f t="shared" si="4"/>
        <v>0</v>
      </c>
      <c r="P20" s="46">
        <f t="shared" si="5"/>
        <v>0</v>
      </c>
      <c r="Q20" s="48">
        <f t="shared" si="6"/>
        <v>0</v>
      </c>
      <c r="R20" s="46">
        <f t="shared" si="7"/>
        <v>0</v>
      </c>
      <c r="S20" s="48">
        <f t="shared" si="8"/>
        <v>0</v>
      </c>
      <c r="T20" s="46">
        <f t="shared" si="9"/>
        <v>1764</v>
      </c>
      <c r="U20" s="48">
        <f t="shared" si="10"/>
        <v>0</v>
      </c>
      <c r="V20" s="46">
        <f t="shared" si="11"/>
        <v>0</v>
      </c>
      <c r="W20" s="48">
        <f t="shared" si="12"/>
        <v>0</v>
      </c>
      <c r="X20" s="46">
        <f t="shared" si="13"/>
        <v>1764</v>
      </c>
      <c r="Y20" s="48">
        <f t="shared" si="14"/>
        <v>0</v>
      </c>
      <c r="Z20" s="46">
        <f t="shared" si="15"/>
        <v>1764</v>
      </c>
    </row>
    <row r="21" spans="1:26" ht="12.75">
      <c r="A21" s="1486" t="s">
        <v>665</v>
      </c>
      <c r="B21" s="1487"/>
      <c r="C21" s="401">
        <f>SUM(C12:C20)</f>
        <v>0</v>
      </c>
      <c r="D21" s="797">
        <f aca="true" t="shared" si="17" ref="D21:L21">SUM(D12:D20)</f>
        <v>0</v>
      </c>
      <c r="E21" s="401">
        <f t="shared" si="17"/>
        <v>0</v>
      </c>
      <c r="F21" s="797">
        <f t="shared" si="17"/>
        <v>0</v>
      </c>
      <c r="G21" s="401">
        <f t="shared" si="17"/>
        <v>0</v>
      </c>
      <c r="H21" s="797">
        <f t="shared" si="17"/>
        <v>0</v>
      </c>
      <c r="I21" s="401">
        <f t="shared" si="17"/>
        <v>0</v>
      </c>
      <c r="J21" s="797">
        <f t="shared" si="17"/>
        <v>0</v>
      </c>
      <c r="K21" s="401">
        <f t="shared" si="17"/>
        <v>0</v>
      </c>
      <c r="L21" s="797">
        <f t="shared" si="17"/>
        <v>15876</v>
      </c>
      <c r="O21" s="48">
        <f t="shared" si="4"/>
        <v>0</v>
      </c>
      <c r="P21" s="46">
        <f t="shared" si="5"/>
        <v>0</v>
      </c>
      <c r="Q21" s="48">
        <f t="shared" si="6"/>
        <v>0</v>
      </c>
      <c r="R21" s="46">
        <f t="shared" si="7"/>
        <v>0</v>
      </c>
      <c r="S21" s="48">
        <f t="shared" si="8"/>
        <v>0</v>
      </c>
      <c r="T21" s="46">
        <f t="shared" si="9"/>
        <v>1764</v>
      </c>
      <c r="U21" s="48">
        <f t="shared" si="10"/>
        <v>0</v>
      </c>
      <c r="V21" s="46">
        <f t="shared" si="11"/>
        <v>0</v>
      </c>
      <c r="W21" s="48">
        <f t="shared" si="12"/>
        <v>0</v>
      </c>
      <c r="X21" s="46">
        <f t="shared" si="13"/>
        <v>1764</v>
      </c>
      <c r="Y21" s="48">
        <f t="shared" si="14"/>
        <v>0</v>
      </c>
      <c r="Z21" s="46">
        <f t="shared" si="15"/>
        <v>1764</v>
      </c>
    </row>
    <row r="22" spans="1:26" ht="12.75">
      <c r="A22" s="33"/>
      <c r="B22" s="731"/>
      <c r="C22" s="48">
        <v>0</v>
      </c>
      <c r="D22" s="46">
        <v>0</v>
      </c>
      <c r="E22" s="48">
        <v>0</v>
      </c>
      <c r="F22" s="46">
        <v>0</v>
      </c>
      <c r="G22" s="48">
        <v>0</v>
      </c>
      <c r="H22" s="46">
        <v>0</v>
      </c>
      <c r="I22" s="48">
        <f t="shared" si="0"/>
        <v>0</v>
      </c>
      <c r="J22" s="46">
        <f t="shared" si="1"/>
        <v>0</v>
      </c>
      <c r="K22" s="48">
        <f t="shared" si="2"/>
        <v>0</v>
      </c>
      <c r="L22" s="46">
        <f t="shared" si="3"/>
        <v>1764</v>
      </c>
      <c r="O22" s="48">
        <f t="shared" si="4"/>
        <v>0</v>
      </c>
      <c r="P22" s="46">
        <f t="shared" si="5"/>
        <v>0</v>
      </c>
      <c r="Q22" s="48">
        <f t="shared" si="6"/>
        <v>0</v>
      </c>
      <c r="R22" s="46">
        <f t="shared" si="7"/>
        <v>0</v>
      </c>
      <c r="S22" s="48">
        <f t="shared" si="8"/>
        <v>0</v>
      </c>
      <c r="T22" s="46">
        <f t="shared" si="9"/>
        <v>1764</v>
      </c>
      <c r="U22" s="48">
        <f t="shared" si="10"/>
        <v>0</v>
      </c>
      <c r="V22" s="46">
        <f t="shared" si="11"/>
        <v>0</v>
      </c>
      <c r="W22" s="48">
        <f t="shared" si="12"/>
        <v>0</v>
      </c>
      <c r="X22" s="46">
        <f t="shared" si="13"/>
        <v>1764</v>
      </c>
      <c r="Y22" s="48">
        <f t="shared" si="14"/>
        <v>0</v>
      </c>
      <c r="Z22" s="46">
        <f t="shared" si="15"/>
        <v>1764</v>
      </c>
    </row>
    <row r="23" spans="1:26" ht="12.75">
      <c r="A23" s="799">
        <v>311000</v>
      </c>
      <c r="B23" s="23"/>
      <c r="C23" s="48">
        <v>0</v>
      </c>
      <c r="D23" s="46">
        <v>0</v>
      </c>
      <c r="E23" s="48">
        <v>0</v>
      </c>
      <c r="F23" s="46">
        <v>0</v>
      </c>
      <c r="G23" s="48">
        <v>0</v>
      </c>
      <c r="H23" s="46">
        <v>0</v>
      </c>
      <c r="I23" s="48">
        <f t="shared" si="0"/>
        <v>0</v>
      </c>
      <c r="J23" s="46">
        <f t="shared" si="1"/>
        <v>0</v>
      </c>
      <c r="K23" s="48">
        <f t="shared" si="2"/>
        <v>0</v>
      </c>
      <c r="L23" s="46">
        <f t="shared" si="3"/>
        <v>1764</v>
      </c>
      <c r="O23" s="48">
        <f t="shared" si="4"/>
        <v>0</v>
      </c>
      <c r="P23" s="46">
        <f t="shared" si="5"/>
        <v>0</v>
      </c>
      <c r="Q23" s="48">
        <f t="shared" si="6"/>
        <v>0</v>
      </c>
      <c r="R23" s="46">
        <f t="shared" si="7"/>
        <v>0</v>
      </c>
      <c r="S23" s="48">
        <f t="shared" si="8"/>
        <v>0</v>
      </c>
      <c r="T23" s="46">
        <f t="shared" si="9"/>
        <v>1764</v>
      </c>
      <c r="U23" s="48">
        <f t="shared" si="10"/>
        <v>0</v>
      </c>
      <c r="V23" s="46">
        <f t="shared" si="11"/>
        <v>0</v>
      </c>
      <c r="W23" s="48">
        <f t="shared" si="12"/>
        <v>0</v>
      </c>
      <c r="X23" s="46">
        <f t="shared" si="13"/>
        <v>1764</v>
      </c>
      <c r="Y23" s="48">
        <f t="shared" si="14"/>
        <v>0</v>
      </c>
      <c r="Z23" s="46">
        <f t="shared" si="15"/>
        <v>1764</v>
      </c>
    </row>
    <row r="24" spans="1:26" ht="12.75">
      <c r="A24" s="799">
        <v>355000</v>
      </c>
      <c r="B24" s="23"/>
      <c r="C24" s="48">
        <v>0</v>
      </c>
      <c r="D24" s="46">
        <v>0</v>
      </c>
      <c r="E24" s="48">
        <v>0</v>
      </c>
      <c r="F24" s="46">
        <v>0</v>
      </c>
      <c r="G24" s="48">
        <v>0</v>
      </c>
      <c r="H24" s="46">
        <v>0</v>
      </c>
      <c r="I24" s="48">
        <f t="shared" si="0"/>
        <v>0</v>
      </c>
      <c r="J24" s="46">
        <f t="shared" si="1"/>
        <v>0</v>
      </c>
      <c r="K24" s="48">
        <f t="shared" si="2"/>
        <v>0</v>
      </c>
      <c r="L24" s="46">
        <f t="shared" si="3"/>
        <v>1764</v>
      </c>
      <c r="O24" s="48">
        <f t="shared" si="4"/>
        <v>0</v>
      </c>
      <c r="P24" s="46">
        <f t="shared" si="5"/>
        <v>0</v>
      </c>
      <c r="Q24" s="48">
        <f t="shared" si="6"/>
        <v>0</v>
      </c>
      <c r="R24" s="46">
        <f t="shared" si="7"/>
        <v>0</v>
      </c>
      <c r="S24" s="48">
        <f t="shared" si="8"/>
        <v>0</v>
      </c>
      <c r="T24" s="46">
        <f t="shared" si="9"/>
        <v>1764</v>
      </c>
      <c r="U24" s="48">
        <f t="shared" si="10"/>
        <v>0</v>
      </c>
      <c r="V24" s="46">
        <f t="shared" si="11"/>
        <v>0</v>
      </c>
      <c r="W24" s="48">
        <f t="shared" si="12"/>
        <v>0</v>
      </c>
      <c r="X24" s="46">
        <f t="shared" si="13"/>
        <v>1764</v>
      </c>
      <c r="Y24" s="48">
        <f t="shared" si="14"/>
        <v>0</v>
      </c>
      <c r="Z24" s="46">
        <f t="shared" si="15"/>
        <v>1764</v>
      </c>
    </row>
    <row r="25" spans="1:26" ht="12.75">
      <c r="A25" s="799">
        <v>370000</v>
      </c>
      <c r="B25" s="23"/>
      <c r="C25" s="48">
        <v>0</v>
      </c>
      <c r="D25" s="46">
        <v>0</v>
      </c>
      <c r="E25" s="48">
        <v>0</v>
      </c>
      <c r="F25" s="46">
        <v>0</v>
      </c>
      <c r="G25" s="48">
        <v>0</v>
      </c>
      <c r="H25" s="46">
        <v>0</v>
      </c>
      <c r="I25" s="48">
        <f t="shared" si="0"/>
        <v>0</v>
      </c>
      <c r="J25" s="46">
        <f t="shared" si="1"/>
        <v>0</v>
      </c>
      <c r="K25" s="48">
        <f t="shared" si="2"/>
        <v>0</v>
      </c>
      <c r="L25" s="46">
        <f t="shared" si="3"/>
        <v>1764</v>
      </c>
      <c r="O25" s="48">
        <f t="shared" si="4"/>
        <v>0</v>
      </c>
      <c r="P25" s="46">
        <f t="shared" si="5"/>
        <v>0</v>
      </c>
      <c r="Q25" s="48">
        <f t="shared" si="6"/>
        <v>0</v>
      </c>
      <c r="R25" s="46">
        <f t="shared" si="7"/>
        <v>0</v>
      </c>
      <c r="S25" s="48">
        <f t="shared" si="8"/>
        <v>0</v>
      </c>
      <c r="T25" s="46">
        <f t="shared" si="9"/>
        <v>1764</v>
      </c>
      <c r="U25" s="48">
        <f t="shared" si="10"/>
        <v>0</v>
      </c>
      <c r="V25" s="46">
        <f t="shared" si="11"/>
        <v>0</v>
      </c>
      <c r="W25" s="48">
        <f t="shared" si="12"/>
        <v>0</v>
      </c>
      <c r="X25" s="46">
        <f t="shared" si="13"/>
        <v>1764</v>
      </c>
      <c r="Y25" s="48">
        <f t="shared" si="14"/>
        <v>0</v>
      </c>
      <c r="Z25" s="46">
        <f t="shared" si="15"/>
        <v>1764</v>
      </c>
    </row>
    <row r="26" spans="1:26" ht="12.75">
      <c r="A26" s="799">
        <v>397000</v>
      </c>
      <c r="B26" s="23"/>
      <c r="C26" s="48">
        <v>0</v>
      </c>
      <c r="D26" s="46">
        <v>0</v>
      </c>
      <c r="E26" s="48">
        <v>0</v>
      </c>
      <c r="F26" s="46">
        <v>0</v>
      </c>
      <c r="G26" s="48">
        <v>0</v>
      </c>
      <c r="H26" s="46">
        <v>0</v>
      </c>
      <c r="I26" s="48">
        <f t="shared" si="0"/>
        <v>0</v>
      </c>
      <c r="J26" s="46">
        <f t="shared" si="1"/>
        <v>0</v>
      </c>
      <c r="K26" s="48">
        <f t="shared" si="2"/>
        <v>0</v>
      </c>
      <c r="L26" s="46">
        <f t="shared" si="3"/>
        <v>1764</v>
      </c>
      <c r="O26" s="48">
        <f t="shared" si="4"/>
        <v>0</v>
      </c>
      <c r="P26" s="46">
        <f t="shared" si="5"/>
        <v>0</v>
      </c>
      <c r="Q26" s="48">
        <f t="shared" si="6"/>
        <v>0</v>
      </c>
      <c r="R26" s="46">
        <f t="shared" si="7"/>
        <v>0</v>
      </c>
      <c r="S26" s="48">
        <f t="shared" si="8"/>
        <v>0</v>
      </c>
      <c r="T26" s="46">
        <f t="shared" si="9"/>
        <v>1764</v>
      </c>
      <c r="U26" s="48">
        <f t="shared" si="10"/>
        <v>0</v>
      </c>
      <c r="V26" s="46">
        <f t="shared" si="11"/>
        <v>0</v>
      </c>
      <c r="W26" s="48">
        <f t="shared" si="12"/>
        <v>0</v>
      </c>
      <c r="X26" s="46">
        <f t="shared" si="13"/>
        <v>1764</v>
      </c>
      <c r="Y26" s="48">
        <f t="shared" si="14"/>
        <v>0</v>
      </c>
      <c r="Z26" s="46">
        <f t="shared" si="15"/>
        <v>1764</v>
      </c>
    </row>
    <row r="27" spans="1:26" ht="12.75">
      <c r="A27" s="800"/>
      <c r="B27" s="23"/>
      <c r="C27" s="48">
        <v>0</v>
      </c>
      <c r="D27" s="46">
        <v>0</v>
      </c>
      <c r="E27" s="48">
        <v>0</v>
      </c>
      <c r="F27" s="46">
        <v>0</v>
      </c>
      <c r="G27" s="48">
        <v>0</v>
      </c>
      <c r="H27" s="46">
        <v>0</v>
      </c>
      <c r="I27" s="48">
        <f t="shared" si="0"/>
        <v>0</v>
      </c>
      <c r="J27" s="46">
        <f t="shared" si="1"/>
        <v>0</v>
      </c>
      <c r="K27" s="48">
        <f t="shared" si="2"/>
        <v>0</v>
      </c>
      <c r="L27" s="46">
        <f t="shared" si="3"/>
        <v>1764</v>
      </c>
      <c r="O27" s="48">
        <f t="shared" si="4"/>
        <v>0</v>
      </c>
      <c r="P27" s="46">
        <f t="shared" si="5"/>
        <v>0</v>
      </c>
      <c r="Q27" s="48">
        <f t="shared" si="6"/>
        <v>0</v>
      </c>
      <c r="R27" s="46">
        <f t="shared" si="7"/>
        <v>0</v>
      </c>
      <c r="S27" s="48">
        <f t="shared" si="8"/>
        <v>0</v>
      </c>
      <c r="T27" s="46">
        <f t="shared" si="9"/>
        <v>1764</v>
      </c>
      <c r="U27" s="48">
        <f t="shared" si="10"/>
        <v>0</v>
      </c>
      <c r="V27" s="46">
        <f t="shared" si="11"/>
        <v>0</v>
      </c>
      <c r="W27" s="48">
        <f t="shared" si="12"/>
        <v>0</v>
      </c>
      <c r="X27" s="46">
        <f t="shared" si="13"/>
        <v>1764</v>
      </c>
      <c r="Y27" s="48">
        <f t="shared" si="14"/>
        <v>0</v>
      </c>
      <c r="Z27" s="46">
        <f t="shared" si="15"/>
        <v>1764</v>
      </c>
    </row>
    <row r="28" spans="1:26" ht="12.75">
      <c r="A28" s="1488" t="s">
        <v>666</v>
      </c>
      <c r="B28" s="1489"/>
      <c r="C28" s="401">
        <f>SUM(C22:C27)</f>
        <v>0</v>
      </c>
      <c r="D28" s="797">
        <f aca="true" t="shared" si="18" ref="D28:J28">SUM(D22:D27)</f>
        <v>0</v>
      </c>
      <c r="E28" s="401">
        <f t="shared" si="18"/>
        <v>0</v>
      </c>
      <c r="F28" s="797">
        <f t="shared" si="18"/>
        <v>0</v>
      </c>
      <c r="G28" s="401">
        <f t="shared" si="18"/>
        <v>0</v>
      </c>
      <c r="H28" s="797">
        <f t="shared" si="18"/>
        <v>0</v>
      </c>
      <c r="I28" s="401">
        <f t="shared" si="18"/>
        <v>0</v>
      </c>
      <c r="J28" s="797">
        <f t="shared" si="18"/>
        <v>0</v>
      </c>
      <c r="K28" s="401">
        <f t="shared" si="2"/>
        <v>0</v>
      </c>
      <c r="L28" s="797">
        <f t="shared" si="3"/>
        <v>1764</v>
      </c>
      <c r="O28" s="48">
        <f t="shared" si="4"/>
        <v>0</v>
      </c>
      <c r="P28" s="46">
        <f t="shared" si="5"/>
        <v>0</v>
      </c>
      <c r="Q28" s="48">
        <f t="shared" si="6"/>
        <v>0</v>
      </c>
      <c r="R28" s="46">
        <f t="shared" si="7"/>
        <v>0</v>
      </c>
      <c r="S28" s="48">
        <f t="shared" si="8"/>
        <v>0</v>
      </c>
      <c r="T28" s="46">
        <f t="shared" si="9"/>
        <v>1764</v>
      </c>
      <c r="U28" s="48">
        <f t="shared" si="10"/>
        <v>0</v>
      </c>
      <c r="V28" s="46">
        <f t="shared" si="11"/>
        <v>0</v>
      </c>
      <c r="W28" s="48">
        <f t="shared" si="12"/>
        <v>0</v>
      </c>
      <c r="X28" s="46">
        <f t="shared" si="13"/>
        <v>1764</v>
      </c>
      <c r="Y28" s="48">
        <f t="shared" si="14"/>
        <v>0</v>
      </c>
      <c r="Z28" s="46">
        <f t="shared" si="15"/>
        <v>1764</v>
      </c>
    </row>
    <row r="29" spans="1:26" ht="12.75">
      <c r="A29" s="798"/>
      <c r="B29" s="23"/>
      <c r="C29" s="48">
        <v>0</v>
      </c>
      <c r="D29" s="46">
        <v>0</v>
      </c>
      <c r="E29" s="48">
        <v>0</v>
      </c>
      <c r="F29" s="46">
        <v>0</v>
      </c>
      <c r="G29" s="48">
        <v>0</v>
      </c>
      <c r="H29" s="46">
        <v>0</v>
      </c>
      <c r="I29" s="48">
        <f t="shared" si="0"/>
        <v>0</v>
      </c>
      <c r="J29" s="46">
        <f t="shared" si="1"/>
        <v>0</v>
      </c>
      <c r="K29" s="48">
        <f t="shared" si="2"/>
        <v>0</v>
      </c>
      <c r="L29" s="46">
        <f t="shared" si="3"/>
        <v>1764</v>
      </c>
      <c r="O29" s="48">
        <f t="shared" si="4"/>
        <v>0</v>
      </c>
      <c r="P29" s="46">
        <f t="shared" si="5"/>
        <v>0</v>
      </c>
      <c r="Q29" s="48">
        <f t="shared" si="6"/>
        <v>0</v>
      </c>
      <c r="R29" s="46">
        <f t="shared" si="7"/>
        <v>0</v>
      </c>
      <c r="S29" s="48">
        <f t="shared" si="8"/>
        <v>0</v>
      </c>
      <c r="T29" s="46">
        <f t="shared" si="9"/>
        <v>1764</v>
      </c>
      <c r="U29" s="48">
        <f t="shared" si="10"/>
        <v>0</v>
      </c>
      <c r="V29" s="46">
        <f t="shared" si="11"/>
        <v>0</v>
      </c>
      <c r="W29" s="48">
        <f t="shared" si="12"/>
        <v>0</v>
      </c>
      <c r="X29" s="46">
        <f t="shared" si="13"/>
        <v>1764</v>
      </c>
      <c r="Y29" s="48">
        <f t="shared" si="14"/>
        <v>0</v>
      </c>
      <c r="Z29" s="46">
        <f t="shared" si="15"/>
        <v>1764</v>
      </c>
    </row>
    <row r="30" spans="1:26" ht="12.75">
      <c r="A30" s="799">
        <v>401000</v>
      </c>
      <c r="B30" s="23"/>
      <c r="C30" s="48">
        <v>0</v>
      </c>
      <c r="D30" s="46">
        <v>0</v>
      </c>
      <c r="E30" s="48">
        <v>0</v>
      </c>
      <c r="F30" s="46">
        <v>0</v>
      </c>
      <c r="G30" s="48">
        <v>0</v>
      </c>
      <c r="H30" s="46">
        <v>0</v>
      </c>
      <c r="I30" s="48">
        <f t="shared" si="0"/>
        <v>0</v>
      </c>
      <c r="J30" s="46">
        <f t="shared" si="1"/>
        <v>0</v>
      </c>
      <c r="K30" s="48">
        <f t="shared" si="2"/>
        <v>0</v>
      </c>
      <c r="L30" s="46">
        <f t="shared" si="3"/>
        <v>1764</v>
      </c>
      <c r="O30" s="48">
        <f t="shared" si="4"/>
        <v>0</v>
      </c>
      <c r="P30" s="46">
        <f t="shared" si="5"/>
        <v>0</v>
      </c>
      <c r="Q30" s="48">
        <f t="shared" si="6"/>
        <v>0</v>
      </c>
      <c r="R30" s="46">
        <f t="shared" si="7"/>
        <v>0</v>
      </c>
      <c r="S30" s="48">
        <f t="shared" si="8"/>
        <v>0</v>
      </c>
      <c r="T30" s="46">
        <f t="shared" si="9"/>
        <v>1764</v>
      </c>
      <c r="U30" s="48">
        <f t="shared" si="10"/>
        <v>0</v>
      </c>
      <c r="V30" s="46">
        <f t="shared" si="11"/>
        <v>0</v>
      </c>
      <c r="W30" s="48">
        <f t="shared" si="12"/>
        <v>0</v>
      </c>
      <c r="X30" s="46">
        <f t="shared" si="13"/>
        <v>1764</v>
      </c>
      <c r="Y30" s="48">
        <f t="shared" si="14"/>
        <v>0</v>
      </c>
      <c r="Z30" s="46">
        <f t="shared" si="15"/>
        <v>1764</v>
      </c>
    </row>
    <row r="31" spans="1:26" ht="12.75">
      <c r="A31" s="799">
        <v>411000</v>
      </c>
      <c r="B31" s="23"/>
      <c r="C31" s="48">
        <v>0</v>
      </c>
      <c r="D31" s="46">
        <v>0</v>
      </c>
      <c r="E31" s="48">
        <v>0</v>
      </c>
      <c r="F31" s="46">
        <v>0</v>
      </c>
      <c r="G31" s="48">
        <v>0</v>
      </c>
      <c r="H31" s="46">
        <v>0</v>
      </c>
      <c r="I31" s="48">
        <f t="shared" si="0"/>
        <v>0</v>
      </c>
      <c r="J31" s="46">
        <f t="shared" si="1"/>
        <v>0</v>
      </c>
      <c r="K31" s="48">
        <f t="shared" si="2"/>
        <v>0</v>
      </c>
      <c r="L31" s="46">
        <f t="shared" si="3"/>
        <v>1764</v>
      </c>
      <c r="O31" s="48">
        <f t="shared" si="4"/>
        <v>0</v>
      </c>
      <c r="P31" s="46">
        <f t="shared" si="5"/>
        <v>0</v>
      </c>
      <c r="Q31" s="48">
        <f t="shared" si="6"/>
        <v>0</v>
      </c>
      <c r="R31" s="46">
        <f t="shared" si="7"/>
        <v>0</v>
      </c>
      <c r="S31" s="48">
        <f t="shared" si="8"/>
        <v>0</v>
      </c>
      <c r="T31" s="46">
        <f t="shared" si="9"/>
        <v>1764</v>
      </c>
      <c r="U31" s="48">
        <f t="shared" si="10"/>
        <v>0</v>
      </c>
      <c r="V31" s="46">
        <f t="shared" si="11"/>
        <v>0</v>
      </c>
      <c r="W31" s="48">
        <f t="shared" si="12"/>
        <v>0</v>
      </c>
      <c r="X31" s="46">
        <f t="shared" si="13"/>
        <v>1764</v>
      </c>
      <c r="Y31" s="48">
        <f t="shared" si="14"/>
        <v>0</v>
      </c>
      <c r="Z31" s="46">
        <f t="shared" si="15"/>
        <v>1764</v>
      </c>
    </row>
    <row r="32" spans="1:26" ht="12.75">
      <c r="A32" s="799">
        <v>416000</v>
      </c>
      <c r="B32" s="23"/>
      <c r="C32" s="48">
        <v>0</v>
      </c>
      <c r="D32" s="46">
        <v>0</v>
      </c>
      <c r="E32" s="48">
        <v>0</v>
      </c>
      <c r="F32" s="46">
        <v>0</v>
      </c>
      <c r="G32" s="48">
        <v>0</v>
      </c>
      <c r="H32" s="46">
        <v>0</v>
      </c>
      <c r="I32" s="48">
        <f t="shared" si="0"/>
        <v>0</v>
      </c>
      <c r="J32" s="46">
        <f t="shared" si="1"/>
        <v>0</v>
      </c>
      <c r="K32" s="48">
        <f t="shared" si="2"/>
        <v>0</v>
      </c>
      <c r="L32" s="46">
        <f t="shared" si="3"/>
        <v>1764</v>
      </c>
      <c r="O32" s="48">
        <f t="shared" si="4"/>
        <v>0</v>
      </c>
      <c r="P32" s="46">
        <f t="shared" si="5"/>
        <v>0</v>
      </c>
      <c r="Q32" s="48">
        <f t="shared" si="6"/>
        <v>0</v>
      </c>
      <c r="R32" s="46">
        <f t="shared" si="7"/>
        <v>0</v>
      </c>
      <c r="S32" s="48">
        <f t="shared" si="8"/>
        <v>0</v>
      </c>
      <c r="T32" s="46">
        <f t="shared" si="9"/>
        <v>1764</v>
      </c>
      <c r="U32" s="48">
        <f t="shared" si="10"/>
        <v>0</v>
      </c>
      <c r="V32" s="46">
        <f t="shared" si="11"/>
        <v>0</v>
      </c>
      <c r="W32" s="48">
        <f t="shared" si="12"/>
        <v>0</v>
      </c>
      <c r="X32" s="46">
        <f t="shared" si="13"/>
        <v>1764</v>
      </c>
      <c r="Y32" s="48">
        <f t="shared" si="14"/>
        <v>0</v>
      </c>
      <c r="Z32" s="46">
        <f t="shared" si="15"/>
        <v>1764</v>
      </c>
    </row>
    <row r="33" spans="1:26" ht="12.75">
      <c r="A33" s="799">
        <v>431000</v>
      </c>
      <c r="B33" s="23"/>
      <c r="C33" s="48">
        <v>0</v>
      </c>
      <c r="D33" s="46">
        <v>0</v>
      </c>
      <c r="E33" s="48">
        <v>0</v>
      </c>
      <c r="F33" s="46">
        <v>0</v>
      </c>
      <c r="G33" s="48">
        <v>0</v>
      </c>
      <c r="H33" s="46">
        <v>0</v>
      </c>
      <c r="I33" s="48">
        <f t="shared" si="0"/>
        <v>0</v>
      </c>
      <c r="J33" s="46">
        <f t="shared" si="1"/>
        <v>0</v>
      </c>
      <c r="K33" s="48">
        <f t="shared" si="2"/>
        <v>0</v>
      </c>
      <c r="L33" s="46">
        <f t="shared" si="3"/>
        <v>1764</v>
      </c>
      <c r="O33" s="48">
        <f t="shared" si="4"/>
        <v>0</v>
      </c>
      <c r="P33" s="46">
        <f t="shared" si="5"/>
        <v>0</v>
      </c>
      <c r="Q33" s="48">
        <f t="shared" si="6"/>
        <v>0</v>
      </c>
      <c r="R33" s="46">
        <f t="shared" si="7"/>
        <v>0</v>
      </c>
      <c r="S33" s="48">
        <f t="shared" si="8"/>
        <v>0</v>
      </c>
      <c r="T33" s="46">
        <f t="shared" si="9"/>
        <v>1764</v>
      </c>
      <c r="U33" s="48">
        <f t="shared" si="10"/>
        <v>0</v>
      </c>
      <c r="V33" s="46">
        <f t="shared" si="11"/>
        <v>0</v>
      </c>
      <c r="W33" s="48">
        <f t="shared" si="12"/>
        <v>0</v>
      </c>
      <c r="X33" s="46">
        <f t="shared" si="13"/>
        <v>1764</v>
      </c>
      <c r="Y33" s="48">
        <f t="shared" si="14"/>
        <v>0</v>
      </c>
      <c r="Z33" s="46">
        <f t="shared" si="15"/>
        <v>1764</v>
      </c>
    </row>
    <row r="34" spans="1:26" ht="12.75">
      <c r="A34" s="799">
        <v>444000</v>
      </c>
      <c r="B34" s="23"/>
      <c r="C34" s="48">
        <v>0</v>
      </c>
      <c r="D34" s="46">
        <v>0</v>
      </c>
      <c r="E34" s="48">
        <v>0</v>
      </c>
      <c r="F34" s="46">
        <v>0</v>
      </c>
      <c r="G34" s="48">
        <v>0</v>
      </c>
      <c r="H34" s="46">
        <v>0</v>
      </c>
      <c r="I34" s="48">
        <f t="shared" si="0"/>
        <v>0</v>
      </c>
      <c r="J34" s="46">
        <f t="shared" si="1"/>
        <v>0</v>
      </c>
      <c r="K34" s="48">
        <f t="shared" si="2"/>
        <v>0</v>
      </c>
      <c r="L34" s="46">
        <f t="shared" si="3"/>
        <v>1764</v>
      </c>
      <c r="O34" s="48">
        <f t="shared" si="4"/>
        <v>0</v>
      </c>
      <c r="P34" s="46">
        <f t="shared" si="5"/>
        <v>0</v>
      </c>
      <c r="Q34" s="48">
        <f t="shared" si="6"/>
        <v>0</v>
      </c>
      <c r="R34" s="46">
        <f t="shared" si="7"/>
        <v>0</v>
      </c>
      <c r="S34" s="48">
        <f t="shared" si="8"/>
        <v>0</v>
      </c>
      <c r="T34" s="46">
        <f t="shared" si="9"/>
        <v>1764</v>
      </c>
      <c r="U34" s="48">
        <f t="shared" si="10"/>
        <v>0</v>
      </c>
      <c r="V34" s="46">
        <f t="shared" si="11"/>
        <v>0</v>
      </c>
      <c r="W34" s="48">
        <f t="shared" si="12"/>
        <v>0</v>
      </c>
      <c r="X34" s="46">
        <f t="shared" si="13"/>
        <v>1764</v>
      </c>
      <c r="Y34" s="48">
        <f t="shared" si="14"/>
        <v>0</v>
      </c>
      <c r="Z34" s="46">
        <f t="shared" si="15"/>
        <v>1764</v>
      </c>
    </row>
    <row r="35" spans="1:26" ht="12.75">
      <c r="A35" s="799">
        <v>445510</v>
      </c>
      <c r="B35" s="23"/>
      <c r="C35" s="48">
        <v>0</v>
      </c>
      <c r="D35" s="46">
        <v>0</v>
      </c>
      <c r="E35" s="48">
        <v>0</v>
      </c>
      <c r="F35" s="46">
        <v>0</v>
      </c>
      <c r="G35" s="48">
        <v>0</v>
      </c>
      <c r="H35" s="46">
        <v>0</v>
      </c>
      <c r="I35" s="48">
        <f t="shared" si="0"/>
        <v>0</v>
      </c>
      <c r="J35" s="46">
        <f t="shared" si="1"/>
        <v>0</v>
      </c>
      <c r="K35" s="48">
        <f t="shared" si="2"/>
        <v>0</v>
      </c>
      <c r="L35" s="46">
        <f t="shared" si="3"/>
        <v>1764</v>
      </c>
      <c r="O35" s="48">
        <f t="shared" si="4"/>
        <v>0</v>
      </c>
      <c r="P35" s="46">
        <f t="shared" si="5"/>
        <v>0</v>
      </c>
      <c r="Q35" s="48">
        <f t="shared" si="6"/>
        <v>0</v>
      </c>
      <c r="R35" s="46">
        <f t="shared" si="7"/>
        <v>0</v>
      </c>
      <c r="S35" s="48">
        <f t="shared" si="8"/>
        <v>0</v>
      </c>
      <c r="T35" s="46">
        <f t="shared" si="9"/>
        <v>1764</v>
      </c>
      <c r="U35" s="48">
        <f t="shared" si="10"/>
        <v>0</v>
      </c>
      <c r="V35" s="46">
        <f t="shared" si="11"/>
        <v>0</v>
      </c>
      <c r="W35" s="48">
        <f t="shared" si="12"/>
        <v>0</v>
      </c>
      <c r="X35" s="46">
        <f t="shared" si="13"/>
        <v>1764</v>
      </c>
      <c r="Y35" s="48">
        <f t="shared" si="14"/>
        <v>0</v>
      </c>
      <c r="Z35" s="46">
        <f t="shared" si="15"/>
        <v>1764</v>
      </c>
    </row>
    <row r="36" spans="1:26" ht="12.75">
      <c r="A36" s="799">
        <v>447100</v>
      </c>
      <c r="B36" s="23"/>
      <c r="C36" s="48">
        <v>0</v>
      </c>
      <c r="D36" s="46">
        <v>0</v>
      </c>
      <c r="E36" s="48">
        <v>0</v>
      </c>
      <c r="F36" s="46">
        <v>0</v>
      </c>
      <c r="G36" s="48">
        <v>0</v>
      </c>
      <c r="H36" s="46">
        <v>0</v>
      </c>
      <c r="I36" s="48">
        <f>IF(G36-H36&gt;0,G36-H36,0)</f>
        <v>0</v>
      </c>
      <c r="J36" s="46">
        <f>IF(H36-G36&gt;0,H36-G36,0)</f>
        <v>0</v>
      </c>
      <c r="K36" s="48">
        <f>Y36</f>
        <v>0</v>
      </c>
      <c r="L36" s="46">
        <f>Z36</f>
        <v>1764</v>
      </c>
      <c r="O36" s="48">
        <f t="shared" si="4"/>
        <v>0</v>
      </c>
      <c r="P36" s="46">
        <f t="shared" si="5"/>
        <v>0</v>
      </c>
      <c r="Q36" s="48">
        <f t="shared" si="6"/>
        <v>0</v>
      </c>
      <c r="R36" s="46">
        <f t="shared" si="7"/>
        <v>0</v>
      </c>
      <c r="S36" s="48">
        <f t="shared" si="8"/>
        <v>0</v>
      </c>
      <c r="T36" s="46">
        <f t="shared" si="9"/>
        <v>1764</v>
      </c>
      <c r="U36" s="48">
        <f t="shared" si="10"/>
        <v>0</v>
      </c>
      <c r="V36" s="46">
        <f t="shared" si="11"/>
        <v>0</v>
      </c>
      <c r="W36" s="48">
        <f t="shared" si="12"/>
        <v>0</v>
      </c>
      <c r="X36" s="46">
        <f t="shared" si="13"/>
        <v>1764</v>
      </c>
      <c r="Y36" s="48">
        <f t="shared" si="14"/>
        <v>0</v>
      </c>
      <c r="Z36" s="46">
        <f t="shared" si="15"/>
        <v>1764</v>
      </c>
    </row>
    <row r="37" spans="1:26" ht="12.75">
      <c r="A37" s="799">
        <v>486000</v>
      </c>
      <c r="B37" s="23"/>
      <c r="C37" s="48">
        <v>0</v>
      </c>
      <c r="D37" s="46">
        <v>0</v>
      </c>
      <c r="E37" s="48">
        <v>0</v>
      </c>
      <c r="F37" s="46">
        <v>0</v>
      </c>
      <c r="G37" s="48">
        <v>0</v>
      </c>
      <c r="H37" s="46">
        <v>0</v>
      </c>
      <c r="I37" s="48">
        <f t="shared" si="0"/>
        <v>0</v>
      </c>
      <c r="J37" s="46">
        <f t="shared" si="1"/>
        <v>0</v>
      </c>
      <c r="K37" s="48">
        <f t="shared" si="2"/>
        <v>0</v>
      </c>
      <c r="L37" s="46">
        <f t="shared" si="3"/>
        <v>1764</v>
      </c>
      <c r="O37" s="48">
        <f t="shared" si="4"/>
        <v>0</v>
      </c>
      <c r="P37" s="46">
        <f t="shared" si="5"/>
        <v>0</v>
      </c>
      <c r="Q37" s="48">
        <f t="shared" si="6"/>
        <v>0</v>
      </c>
      <c r="R37" s="46">
        <f t="shared" si="7"/>
        <v>0</v>
      </c>
      <c r="S37" s="48">
        <f t="shared" si="8"/>
        <v>0</v>
      </c>
      <c r="T37" s="46">
        <f t="shared" si="9"/>
        <v>1764</v>
      </c>
      <c r="U37" s="48">
        <f t="shared" si="10"/>
        <v>0</v>
      </c>
      <c r="V37" s="46">
        <f t="shared" si="11"/>
        <v>0</v>
      </c>
      <c r="W37" s="48">
        <f t="shared" si="12"/>
        <v>0</v>
      </c>
      <c r="X37" s="46">
        <f t="shared" si="13"/>
        <v>1764</v>
      </c>
      <c r="Y37" s="48">
        <f t="shared" si="14"/>
        <v>0</v>
      </c>
      <c r="Z37" s="46">
        <f t="shared" si="15"/>
        <v>1764</v>
      </c>
    </row>
    <row r="38" spans="1:26" ht="12.75">
      <c r="A38" s="799">
        <v>487000</v>
      </c>
      <c r="B38" s="23"/>
      <c r="C38" s="48">
        <v>0</v>
      </c>
      <c r="D38" s="46">
        <v>0</v>
      </c>
      <c r="E38" s="48">
        <v>0</v>
      </c>
      <c r="F38" s="46">
        <v>0</v>
      </c>
      <c r="G38" s="48">
        <v>0</v>
      </c>
      <c r="H38" s="46">
        <v>0</v>
      </c>
      <c r="I38" s="48">
        <f t="shared" si="0"/>
        <v>0</v>
      </c>
      <c r="J38" s="46">
        <f t="shared" si="1"/>
        <v>0</v>
      </c>
      <c r="K38" s="48">
        <f t="shared" si="2"/>
        <v>0</v>
      </c>
      <c r="L38" s="46">
        <f t="shared" si="3"/>
        <v>1764</v>
      </c>
      <c r="O38" s="48">
        <f t="shared" si="4"/>
        <v>0</v>
      </c>
      <c r="P38" s="46">
        <f t="shared" si="5"/>
        <v>0</v>
      </c>
      <c r="Q38" s="48">
        <f t="shared" si="6"/>
        <v>0</v>
      </c>
      <c r="R38" s="46">
        <f t="shared" si="7"/>
        <v>0</v>
      </c>
      <c r="S38" s="48">
        <f t="shared" si="8"/>
        <v>0</v>
      </c>
      <c r="T38" s="46">
        <f t="shared" si="9"/>
        <v>1764</v>
      </c>
      <c r="U38" s="48">
        <f t="shared" si="10"/>
        <v>0</v>
      </c>
      <c r="V38" s="46">
        <f t="shared" si="11"/>
        <v>0</v>
      </c>
      <c r="W38" s="48">
        <f t="shared" si="12"/>
        <v>0</v>
      </c>
      <c r="X38" s="46">
        <f t="shared" si="13"/>
        <v>1764</v>
      </c>
      <c r="Y38" s="48">
        <f t="shared" si="14"/>
        <v>0</v>
      </c>
      <c r="Z38" s="46">
        <f t="shared" si="15"/>
        <v>1764</v>
      </c>
    </row>
    <row r="39" spans="1:26" ht="12.75">
      <c r="A39" s="799">
        <v>491000</v>
      </c>
      <c r="B39" s="23"/>
      <c r="C39" s="48">
        <v>0</v>
      </c>
      <c r="D39" s="46">
        <v>0</v>
      </c>
      <c r="E39" s="48">
        <v>0</v>
      </c>
      <c r="F39" s="46">
        <v>0</v>
      </c>
      <c r="G39" s="48">
        <v>0</v>
      </c>
      <c r="H39" s="46">
        <v>0</v>
      </c>
      <c r="I39" s="48">
        <f t="shared" si="0"/>
        <v>0</v>
      </c>
      <c r="J39" s="46">
        <f t="shared" si="1"/>
        <v>0</v>
      </c>
      <c r="K39" s="48">
        <f t="shared" si="2"/>
        <v>0</v>
      </c>
      <c r="L39" s="46">
        <f t="shared" si="3"/>
        <v>1764</v>
      </c>
      <c r="O39" s="48">
        <f t="shared" si="4"/>
        <v>0</v>
      </c>
      <c r="P39" s="46">
        <f t="shared" si="5"/>
        <v>0</v>
      </c>
      <c r="Q39" s="48">
        <f t="shared" si="6"/>
        <v>0</v>
      </c>
      <c r="R39" s="46">
        <f t="shared" si="7"/>
        <v>0</v>
      </c>
      <c r="S39" s="48">
        <f t="shared" si="8"/>
        <v>0</v>
      </c>
      <c r="T39" s="46">
        <f t="shared" si="9"/>
        <v>1764</v>
      </c>
      <c r="U39" s="48">
        <f t="shared" si="10"/>
        <v>0</v>
      </c>
      <c r="V39" s="46">
        <f t="shared" si="11"/>
        <v>0</v>
      </c>
      <c r="W39" s="48">
        <f t="shared" si="12"/>
        <v>0</v>
      </c>
      <c r="X39" s="46">
        <f t="shared" si="13"/>
        <v>1764</v>
      </c>
      <c r="Y39" s="48">
        <f t="shared" si="14"/>
        <v>0</v>
      </c>
      <c r="Z39" s="46">
        <f t="shared" si="15"/>
        <v>1764</v>
      </c>
    </row>
    <row r="40" spans="1:26" ht="12.75">
      <c r="A40" s="800"/>
      <c r="B40" s="23"/>
      <c r="C40" s="48">
        <v>0</v>
      </c>
      <c r="D40" s="46">
        <v>0</v>
      </c>
      <c r="E40" s="48">
        <v>0</v>
      </c>
      <c r="F40" s="46">
        <v>0</v>
      </c>
      <c r="G40" s="48">
        <v>0</v>
      </c>
      <c r="H40" s="46">
        <v>0</v>
      </c>
      <c r="I40" s="48">
        <f t="shared" si="0"/>
        <v>0</v>
      </c>
      <c r="J40" s="46">
        <f t="shared" si="1"/>
        <v>0</v>
      </c>
      <c r="K40" s="48">
        <f t="shared" si="2"/>
        <v>0</v>
      </c>
      <c r="L40" s="46">
        <f t="shared" si="3"/>
        <v>1764</v>
      </c>
      <c r="O40" s="48">
        <f t="shared" si="4"/>
        <v>0</v>
      </c>
      <c r="P40" s="46">
        <f t="shared" si="5"/>
        <v>0</v>
      </c>
      <c r="Q40" s="48">
        <f t="shared" si="6"/>
        <v>0</v>
      </c>
      <c r="R40" s="46">
        <f t="shared" si="7"/>
        <v>0</v>
      </c>
      <c r="S40" s="48">
        <f t="shared" si="8"/>
        <v>0</v>
      </c>
      <c r="T40" s="46">
        <f t="shared" si="9"/>
        <v>1764</v>
      </c>
      <c r="U40" s="48">
        <f t="shared" si="10"/>
        <v>0</v>
      </c>
      <c r="V40" s="46">
        <f t="shared" si="11"/>
        <v>0</v>
      </c>
      <c r="W40" s="48">
        <f t="shared" si="12"/>
        <v>0</v>
      </c>
      <c r="X40" s="46">
        <f t="shared" si="13"/>
        <v>1764</v>
      </c>
      <c r="Y40" s="48">
        <f t="shared" si="14"/>
        <v>0</v>
      </c>
      <c r="Z40" s="46">
        <f t="shared" si="15"/>
        <v>1764</v>
      </c>
    </row>
    <row r="41" spans="1:26" ht="12.75">
      <c r="A41" s="1488" t="s">
        <v>667</v>
      </c>
      <c r="B41" s="1489"/>
      <c r="C41" s="401">
        <f>SUM(C29:C40)</f>
        <v>0</v>
      </c>
      <c r="D41" s="797">
        <f aca="true" t="shared" si="19" ref="D41:L41">SUM(D29:D40)</f>
        <v>0</v>
      </c>
      <c r="E41" s="401">
        <f t="shared" si="19"/>
        <v>0</v>
      </c>
      <c r="F41" s="797">
        <f t="shared" si="19"/>
        <v>0</v>
      </c>
      <c r="G41" s="401">
        <f t="shared" si="19"/>
        <v>0</v>
      </c>
      <c r="H41" s="797">
        <f t="shared" si="19"/>
        <v>0</v>
      </c>
      <c r="I41" s="401">
        <f t="shared" si="19"/>
        <v>0</v>
      </c>
      <c r="J41" s="797">
        <f t="shared" si="19"/>
        <v>0</v>
      </c>
      <c r="K41" s="401">
        <f t="shared" si="19"/>
        <v>0</v>
      </c>
      <c r="L41" s="797">
        <f t="shared" si="19"/>
        <v>21168</v>
      </c>
      <c r="O41" s="48">
        <f t="shared" si="4"/>
        <v>0</v>
      </c>
      <c r="P41" s="46">
        <f t="shared" si="5"/>
        <v>0</v>
      </c>
      <c r="Q41" s="48">
        <f t="shared" si="6"/>
        <v>0</v>
      </c>
      <c r="R41" s="46">
        <f t="shared" si="7"/>
        <v>0</v>
      </c>
      <c r="S41" s="48">
        <f t="shared" si="8"/>
        <v>0</v>
      </c>
      <c r="T41" s="46">
        <f t="shared" si="9"/>
        <v>1764</v>
      </c>
      <c r="U41" s="48">
        <f t="shared" si="10"/>
        <v>0</v>
      </c>
      <c r="V41" s="46">
        <f t="shared" si="11"/>
        <v>0</v>
      </c>
      <c r="W41" s="48">
        <f t="shared" si="12"/>
        <v>0</v>
      </c>
      <c r="X41" s="46">
        <f t="shared" si="13"/>
        <v>1764</v>
      </c>
      <c r="Y41" s="48">
        <f t="shared" si="14"/>
        <v>0</v>
      </c>
      <c r="Z41" s="46">
        <f t="shared" si="15"/>
        <v>1764</v>
      </c>
    </row>
    <row r="42" spans="1:26" ht="12.75">
      <c r="A42" s="798"/>
      <c r="B42" s="23"/>
      <c r="C42" s="48">
        <v>0</v>
      </c>
      <c r="D42" s="46">
        <v>0</v>
      </c>
      <c r="E42" s="48">
        <v>0</v>
      </c>
      <c r="F42" s="46">
        <v>0</v>
      </c>
      <c r="G42" s="48">
        <v>0</v>
      </c>
      <c r="H42" s="46">
        <v>0</v>
      </c>
      <c r="I42" s="48">
        <f t="shared" si="0"/>
        <v>0</v>
      </c>
      <c r="J42" s="46">
        <f t="shared" si="1"/>
        <v>0</v>
      </c>
      <c r="K42" s="48">
        <f t="shared" si="2"/>
        <v>0</v>
      </c>
      <c r="L42" s="46">
        <f t="shared" si="3"/>
        <v>1764</v>
      </c>
      <c r="O42" s="48">
        <f t="shared" si="4"/>
        <v>0</v>
      </c>
      <c r="P42" s="46">
        <f t="shared" si="5"/>
        <v>0</v>
      </c>
      <c r="Q42" s="48">
        <f t="shared" si="6"/>
        <v>0</v>
      </c>
      <c r="R42" s="46">
        <f t="shared" si="7"/>
        <v>0</v>
      </c>
      <c r="S42" s="48">
        <f t="shared" si="8"/>
        <v>0</v>
      </c>
      <c r="T42" s="46">
        <f t="shared" si="9"/>
        <v>1764</v>
      </c>
      <c r="U42" s="48">
        <f t="shared" si="10"/>
        <v>0</v>
      </c>
      <c r="V42" s="46">
        <f t="shared" si="11"/>
        <v>0</v>
      </c>
      <c r="W42" s="48">
        <f t="shared" si="12"/>
        <v>0</v>
      </c>
      <c r="X42" s="46">
        <f t="shared" si="13"/>
        <v>1764</v>
      </c>
      <c r="Y42" s="48">
        <f t="shared" si="14"/>
        <v>0</v>
      </c>
      <c r="Z42" s="46">
        <f t="shared" si="15"/>
        <v>1764</v>
      </c>
    </row>
    <row r="43" spans="1:26" ht="12.75">
      <c r="A43" s="799">
        <v>512000</v>
      </c>
      <c r="B43" s="23" t="s">
        <v>668</v>
      </c>
      <c r="C43" s="48">
        <v>0</v>
      </c>
      <c r="D43" s="46">
        <v>0</v>
      </c>
      <c r="E43" s="48">
        <v>0</v>
      </c>
      <c r="F43" s="46">
        <v>0</v>
      </c>
      <c r="G43" s="48">
        <v>0</v>
      </c>
      <c r="H43" s="46">
        <v>0</v>
      </c>
      <c r="I43" s="48">
        <f t="shared" si="0"/>
        <v>0</v>
      </c>
      <c r="J43" s="46">
        <f t="shared" si="1"/>
        <v>0</v>
      </c>
      <c r="K43" s="48">
        <f t="shared" si="2"/>
        <v>0</v>
      </c>
      <c r="L43" s="46">
        <f t="shared" si="3"/>
        <v>1764</v>
      </c>
      <c r="O43" s="48">
        <f t="shared" si="4"/>
        <v>0</v>
      </c>
      <c r="P43" s="46">
        <f t="shared" si="5"/>
        <v>0</v>
      </c>
      <c r="Q43" s="48">
        <f t="shared" si="6"/>
        <v>0</v>
      </c>
      <c r="R43" s="46">
        <f t="shared" si="7"/>
        <v>0</v>
      </c>
      <c r="S43" s="48">
        <f t="shared" si="8"/>
        <v>0</v>
      </c>
      <c r="T43" s="46">
        <f t="shared" si="9"/>
        <v>1764</v>
      </c>
      <c r="U43" s="48">
        <f t="shared" si="10"/>
        <v>0</v>
      </c>
      <c r="V43" s="46">
        <f t="shared" si="11"/>
        <v>0</v>
      </c>
      <c r="W43" s="48">
        <f t="shared" si="12"/>
        <v>0</v>
      </c>
      <c r="X43" s="46">
        <f t="shared" si="13"/>
        <v>1764</v>
      </c>
      <c r="Y43" s="48">
        <f t="shared" si="14"/>
        <v>0</v>
      </c>
      <c r="Z43" s="46">
        <f t="shared" si="15"/>
        <v>1764</v>
      </c>
    </row>
    <row r="44" spans="1:26" ht="12.75">
      <c r="A44" s="799">
        <v>531000</v>
      </c>
      <c r="B44" s="23" t="s">
        <v>669</v>
      </c>
      <c r="C44" s="48">
        <v>0</v>
      </c>
      <c r="D44" s="46">
        <v>0</v>
      </c>
      <c r="E44" s="48">
        <v>0</v>
      </c>
      <c r="F44" s="46">
        <v>0</v>
      </c>
      <c r="G44" s="48">
        <v>0</v>
      </c>
      <c r="H44" s="46">
        <v>0</v>
      </c>
      <c r="I44" s="48">
        <f t="shared" si="0"/>
        <v>0</v>
      </c>
      <c r="J44" s="46">
        <f t="shared" si="1"/>
        <v>0</v>
      </c>
      <c r="K44" s="48">
        <f t="shared" si="2"/>
        <v>0</v>
      </c>
      <c r="L44" s="46">
        <f t="shared" si="3"/>
        <v>1764</v>
      </c>
      <c r="O44" s="48">
        <f t="shared" si="4"/>
        <v>0</v>
      </c>
      <c r="P44" s="46">
        <f t="shared" si="5"/>
        <v>0</v>
      </c>
      <c r="Q44" s="48">
        <f t="shared" si="6"/>
        <v>0</v>
      </c>
      <c r="R44" s="46">
        <f t="shared" si="7"/>
        <v>0</v>
      </c>
      <c r="S44" s="48">
        <f t="shared" si="8"/>
        <v>0</v>
      </c>
      <c r="T44" s="46">
        <f t="shared" si="9"/>
        <v>1764</v>
      </c>
      <c r="U44" s="48">
        <f t="shared" si="10"/>
        <v>0</v>
      </c>
      <c r="V44" s="46">
        <f t="shared" si="11"/>
        <v>0</v>
      </c>
      <c r="W44" s="48">
        <f t="shared" si="12"/>
        <v>0</v>
      </c>
      <c r="X44" s="46">
        <f t="shared" si="13"/>
        <v>1764</v>
      </c>
      <c r="Y44" s="48">
        <f t="shared" si="14"/>
        <v>0</v>
      </c>
      <c r="Z44" s="46">
        <f t="shared" si="15"/>
        <v>1764</v>
      </c>
    </row>
    <row r="45" spans="1:26" ht="12.75">
      <c r="A45" s="800"/>
      <c r="B45" s="23"/>
      <c r="C45" s="48">
        <v>0</v>
      </c>
      <c r="D45" s="46">
        <v>0</v>
      </c>
      <c r="E45" s="48">
        <v>0</v>
      </c>
      <c r="F45" s="46">
        <v>0</v>
      </c>
      <c r="G45" s="48">
        <v>0</v>
      </c>
      <c r="H45" s="46">
        <v>0</v>
      </c>
      <c r="I45" s="48">
        <f t="shared" si="0"/>
        <v>0</v>
      </c>
      <c r="J45" s="46">
        <f t="shared" si="1"/>
        <v>0</v>
      </c>
      <c r="K45" s="48">
        <f t="shared" si="2"/>
        <v>0</v>
      </c>
      <c r="L45" s="46">
        <f t="shared" si="3"/>
        <v>1764</v>
      </c>
      <c r="O45" s="48">
        <f t="shared" si="4"/>
        <v>0</v>
      </c>
      <c r="P45" s="46">
        <f t="shared" si="5"/>
        <v>0</v>
      </c>
      <c r="Q45" s="48">
        <f t="shared" si="6"/>
        <v>0</v>
      </c>
      <c r="R45" s="46">
        <f t="shared" si="7"/>
        <v>0</v>
      </c>
      <c r="S45" s="48">
        <f t="shared" si="8"/>
        <v>0</v>
      </c>
      <c r="T45" s="46">
        <f t="shared" si="9"/>
        <v>1764</v>
      </c>
      <c r="U45" s="48">
        <f t="shared" si="10"/>
        <v>0</v>
      </c>
      <c r="V45" s="46">
        <f t="shared" si="11"/>
        <v>0</v>
      </c>
      <c r="W45" s="48">
        <f t="shared" si="12"/>
        <v>0</v>
      </c>
      <c r="X45" s="46">
        <f t="shared" si="13"/>
        <v>1764</v>
      </c>
      <c r="Y45" s="48">
        <f t="shared" si="14"/>
        <v>0</v>
      </c>
      <c r="Z45" s="46">
        <f t="shared" si="15"/>
        <v>1764</v>
      </c>
    </row>
    <row r="46" spans="1:26" ht="12.75">
      <c r="A46" s="1488" t="s">
        <v>677</v>
      </c>
      <c r="B46" s="1489"/>
      <c r="C46" s="401">
        <f>SUM(C42:C45)</f>
        <v>0</v>
      </c>
      <c r="D46" s="797">
        <f aca="true" t="shared" si="20" ref="D46:L46">SUM(D42:D45)</f>
        <v>0</v>
      </c>
      <c r="E46" s="401">
        <f t="shared" si="20"/>
        <v>0</v>
      </c>
      <c r="F46" s="797">
        <f t="shared" si="20"/>
        <v>0</v>
      </c>
      <c r="G46" s="401">
        <f t="shared" si="20"/>
        <v>0</v>
      </c>
      <c r="H46" s="797">
        <f t="shared" si="20"/>
        <v>0</v>
      </c>
      <c r="I46" s="401">
        <f t="shared" si="20"/>
        <v>0</v>
      </c>
      <c r="J46" s="797">
        <f t="shared" si="20"/>
        <v>0</v>
      </c>
      <c r="K46" s="401">
        <f t="shared" si="20"/>
        <v>0</v>
      </c>
      <c r="L46" s="797">
        <f t="shared" si="20"/>
        <v>7056</v>
      </c>
      <c r="O46" s="48">
        <f t="shared" si="4"/>
        <v>0</v>
      </c>
      <c r="P46" s="46">
        <f t="shared" si="5"/>
        <v>0</v>
      </c>
      <c r="Q46" s="48">
        <f t="shared" si="6"/>
        <v>0</v>
      </c>
      <c r="R46" s="46">
        <f t="shared" si="7"/>
        <v>0</v>
      </c>
      <c r="S46" s="48">
        <f t="shared" si="8"/>
        <v>0</v>
      </c>
      <c r="T46" s="46">
        <f t="shared" si="9"/>
        <v>1764</v>
      </c>
      <c r="U46" s="48">
        <f t="shared" si="10"/>
        <v>0</v>
      </c>
      <c r="V46" s="46">
        <f t="shared" si="11"/>
        <v>0</v>
      </c>
      <c r="W46" s="48">
        <f t="shared" si="12"/>
        <v>0</v>
      </c>
      <c r="X46" s="46">
        <f t="shared" si="13"/>
        <v>1764</v>
      </c>
      <c r="Y46" s="48">
        <f t="shared" si="14"/>
        <v>0</v>
      </c>
      <c r="Z46" s="46">
        <f t="shared" si="15"/>
        <v>1764</v>
      </c>
    </row>
    <row r="47" spans="1:26" ht="12.75">
      <c r="A47" s="798"/>
      <c r="B47" s="23"/>
      <c r="C47" s="48">
        <v>0</v>
      </c>
      <c r="D47" s="46">
        <v>0</v>
      </c>
      <c r="E47" s="48">
        <v>0</v>
      </c>
      <c r="F47" s="46">
        <v>0</v>
      </c>
      <c r="G47" s="48">
        <v>0</v>
      </c>
      <c r="H47" s="46">
        <v>0</v>
      </c>
      <c r="I47" s="48">
        <f t="shared" si="0"/>
        <v>0</v>
      </c>
      <c r="J47" s="46">
        <f t="shared" si="1"/>
        <v>0</v>
      </c>
      <c r="K47" s="48">
        <f t="shared" si="2"/>
        <v>0</v>
      </c>
      <c r="L47" s="46">
        <f t="shared" si="3"/>
        <v>1764</v>
      </c>
      <c r="O47" s="48">
        <f t="shared" si="4"/>
        <v>0</v>
      </c>
      <c r="P47" s="46">
        <f t="shared" si="5"/>
        <v>0</v>
      </c>
      <c r="Q47" s="48">
        <f t="shared" si="6"/>
        <v>0</v>
      </c>
      <c r="R47" s="46">
        <f t="shared" si="7"/>
        <v>0</v>
      </c>
      <c r="S47" s="48">
        <f t="shared" si="8"/>
        <v>0</v>
      </c>
      <c r="T47" s="46">
        <f t="shared" si="9"/>
        <v>1764</v>
      </c>
      <c r="U47" s="48">
        <f t="shared" si="10"/>
        <v>0</v>
      </c>
      <c r="V47" s="46">
        <f t="shared" si="11"/>
        <v>0</v>
      </c>
      <c r="W47" s="48">
        <f t="shared" si="12"/>
        <v>0</v>
      </c>
      <c r="X47" s="46">
        <f t="shared" si="13"/>
        <v>1764</v>
      </c>
      <c r="Y47" s="48">
        <f t="shared" si="14"/>
        <v>0</v>
      </c>
      <c r="Z47" s="46">
        <f t="shared" si="15"/>
        <v>1764</v>
      </c>
    </row>
    <row r="48" spans="1:26" ht="12.75">
      <c r="A48" s="799">
        <v>601000</v>
      </c>
      <c r="B48" s="23"/>
      <c r="C48" s="48">
        <v>0</v>
      </c>
      <c r="D48" s="46">
        <v>0</v>
      </c>
      <c r="E48" s="48">
        <v>0</v>
      </c>
      <c r="F48" s="46">
        <v>0</v>
      </c>
      <c r="G48" s="48">
        <v>0</v>
      </c>
      <c r="H48" s="46">
        <v>0</v>
      </c>
      <c r="I48" s="48">
        <f t="shared" si="0"/>
        <v>0</v>
      </c>
      <c r="J48" s="46">
        <f t="shared" si="1"/>
        <v>0</v>
      </c>
      <c r="K48" s="48">
        <f t="shared" si="2"/>
        <v>0</v>
      </c>
      <c r="L48" s="46">
        <f t="shared" si="3"/>
        <v>1764</v>
      </c>
      <c r="O48" s="48">
        <f t="shared" si="4"/>
        <v>0</v>
      </c>
      <c r="P48" s="46">
        <f t="shared" si="5"/>
        <v>0</v>
      </c>
      <c r="Q48" s="48">
        <f t="shared" si="6"/>
        <v>0</v>
      </c>
      <c r="R48" s="46">
        <f t="shared" si="7"/>
        <v>0</v>
      </c>
      <c r="S48" s="48">
        <f t="shared" si="8"/>
        <v>0</v>
      </c>
      <c r="T48" s="46">
        <f t="shared" si="9"/>
        <v>1764</v>
      </c>
      <c r="U48" s="48">
        <f t="shared" si="10"/>
        <v>0</v>
      </c>
      <c r="V48" s="46">
        <f t="shared" si="11"/>
        <v>0</v>
      </c>
      <c r="W48" s="48">
        <f t="shared" si="12"/>
        <v>0</v>
      </c>
      <c r="X48" s="46">
        <f t="shared" si="13"/>
        <v>1764</v>
      </c>
      <c r="Y48" s="48">
        <f t="shared" si="14"/>
        <v>0</v>
      </c>
      <c r="Z48" s="46">
        <f t="shared" si="15"/>
        <v>1764</v>
      </c>
    </row>
    <row r="49" spans="1:26" ht="12.75">
      <c r="A49" s="799">
        <v>603100</v>
      </c>
      <c r="B49" s="23"/>
      <c r="C49" s="48">
        <v>0</v>
      </c>
      <c r="D49" s="46">
        <v>0</v>
      </c>
      <c r="E49" s="48">
        <v>0</v>
      </c>
      <c r="F49" s="46">
        <v>0</v>
      </c>
      <c r="G49" s="48">
        <v>0</v>
      </c>
      <c r="H49" s="46">
        <v>0</v>
      </c>
      <c r="I49" s="48">
        <f t="shared" si="0"/>
        <v>0</v>
      </c>
      <c r="J49" s="46">
        <f t="shared" si="1"/>
        <v>0</v>
      </c>
      <c r="K49" s="48">
        <f t="shared" si="2"/>
        <v>0</v>
      </c>
      <c r="L49" s="46">
        <f t="shared" si="3"/>
        <v>1764</v>
      </c>
      <c r="O49" s="48">
        <f t="shared" si="4"/>
        <v>0</v>
      </c>
      <c r="P49" s="46">
        <f t="shared" si="5"/>
        <v>0</v>
      </c>
      <c r="Q49" s="48">
        <f t="shared" si="6"/>
        <v>0</v>
      </c>
      <c r="R49" s="46">
        <f t="shared" si="7"/>
        <v>0</v>
      </c>
      <c r="S49" s="48">
        <f t="shared" si="8"/>
        <v>0</v>
      </c>
      <c r="T49" s="46">
        <f t="shared" si="9"/>
        <v>1764</v>
      </c>
      <c r="U49" s="48">
        <f t="shared" si="10"/>
        <v>0</v>
      </c>
      <c r="V49" s="46">
        <f t="shared" si="11"/>
        <v>0</v>
      </c>
      <c r="W49" s="48">
        <f t="shared" si="12"/>
        <v>0</v>
      </c>
      <c r="X49" s="46">
        <f t="shared" si="13"/>
        <v>1764</v>
      </c>
      <c r="Y49" s="48">
        <f t="shared" si="14"/>
        <v>0</v>
      </c>
      <c r="Z49" s="46">
        <f t="shared" si="15"/>
        <v>1764</v>
      </c>
    </row>
    <row r="50" spans="1:26" ht="12.75">
      <c r="A50" s="799">
        <v>603700</v>
      </c>
      <c r="B50" s="23"/>
      <c r="C50" s="48">
        <v>0</v>
      </c>
      <c r="D50" s="46">
        <v>0</v>
      </c>
      <c r="E50" s="48">
        <v>0</v>
      </c>
      <c r="F50" s="46">
        <v>0</v>
      </c>
      <c r="G50" s="48">
        <v>0</v>
      </c>
      <c r="H50" s="46">
        <v>0</v>
      </c>
      <c r="I50" s="48">
        <f t="shared" si="0"/>
        <v>0</v>
      </c>
      <c r="J50" s="46">
        <f t="shared" si="1"/>
        <v>0</v>
      </c>
      <c r="K50" s="48">
        <f t="shared" si="2"/>
        <v>0</v>
      </c>
      <c r="L50" s="46">
        <f t="shared" si="3"/>
        <v>1764</v>
      </c>
      <c r="O50" s="48">
        <f t="shared" si="4"/>
        <v>0</v>
      </c>
      <c r="P50" s="46">
        <f t="shared" si="5"/>
        <v>0</v>
      </c>
      <c r="Q50" s="48">
        <f t="shared" si="6"/>
        <v>0</v>
      </c>
      <c r="R50" s="46">
        <f t="shared" si="7"/>
        <v>0</v>
      </c>
      <c r="S50" s="48">
        <f t="shared" si="8"/>
        <v>0</v>
      </c>
      <c r="T50" s="46">
        <f t="shared" si="9"/>
        <v>1764</v>
      </c>
      <c r="U50" s="48">
        <f t="shared" si="10"/>
        <v>0</v>
      </c>
      <c r="V50" s="46">
        <f t="shared" si="11"/>
        <v>0</v>
      </c>
      <c r="W50" s="48">
        <f t="shared" si="12"/>
        <v>0</v>
      </c>
      <c r="X50" s="46">
        <f t="shared" si="13"/>
        <v>1764</v>
      </c>
      <c r="Y50" s="48">
        <f t="shared" si="14"/>
        <v>0</v>
      </c>
      <c r="Z50" s="46">
        <f t="shared" si="15"/>
        <v>1764</v>
      </c>
    </row>
    <row r="51" spans="1:26" ht="12.75">
      <c r="A51" s="799">
        <v>607000</v>
      </c>
      <c r="B51" s="23"/>
      <c r="C51" s="48">
        <v>0</v>
      </c>
      <c r="D51" s="46">
        <v>0</v>
      </c>
      <c r="E51" s="48">
        <v>0</v>
      </c>
      <c r="F51" s="46">
        <v>0</v>
      </c>
      <c r="G51" s="48">
        <v>0</v>
      </c>
      <c r="H51" s="46">
        <v>0</v>
      </c>
      <c r="I51" s="48">
        <f t="shared" si="0"/>
        <v>0</v>
      </c>
      <c r="J51" s="46">
        <f t="shared" si="1"/>
        <v>0</v>
      </c>
      <c r="K51" s="48">
        <f t="shared" si="2"/>
        <v>0</v>
      </c>
      <c r="L51" s="46">
        <f t="shared" si="3"/>
        <v>1764</v>
      </c>
      <c r="O51" s="48">
        <f t="shared" si="4"/>
        <v>0</v>
      </c>
      <c r="P51" s="46">
        <f t="shared" si="5"/>
        <v>0</v>
      </c>
      <c r="Q51" s="48">
        <f t="shared" si="6"/>
        <v>0</v>
      </c>
      <c r="R51" s="46">
        <f t="shared" si="7"/>
        <v>0</v>
      </c>
      <c r="S51" s="48">
        <f t="shared" si="8"/>
        <v>0</v>
      </c>
      <c r="T51" s="46">
        <f t="shared" si="9"/>
        <v>1764</v>
      </c>
      <c r="U51" s="48">
        <f t="shared" si="10"/>
        <v>0</v>
      </c>
      <c r="V51" s="46">
        <f t="shared" si="11"/>
        <v>0</v>
      </c>
      <c r="W51" s="48">
        <f t="shared" si="12"/>
        <v>0</v>
      </c>
      <c r="X51" s="46">
        <f t="shared" si="13"/>
        <v>1764</v>
      </c>
      <c r="Y51" s="48">
        <f t="shared" si="14"/>
        <v>0</v>
      </c>
      <c r="Z51" s="46">
        <f t="shared" si="15"/>
        <v>1764</v>
      </c>
    </row>
    <row r="52" spans="1:26" ht="12.75">
      <c r="A52" s="799">
        <v>609700</v>
      </c>
      <c r="B52" s="23"/>
      <c r="C52" s="48">
        <v>0</v>
      </c>
      <c r="D52" s="46">
        <v>0</v>
      </c>
      <c r="E52" s="48">
        <v>0</v>
      </c>
      <c r="F52" s="46">
        <v>0</v>
      </c>
      <c r="G52" s="48">
        <v>0</v>
      </c>
      <c r="H52" s="46">
        <v>0</v>
      </c>
      <c r="I52" s="48">
        <f t="shared" si="0"/>
        <v>0</v>
      </c>
      <c r="J52" s="46">
        <f t="shared" si="1"/>
        <v>0</v>
      </c>
      <c r="K52" s="48">
        <f t="shared" si="2"/>
        <v>0</v>
      </c>
      <c r="L52" s="46">
        <f t="shared" si="3"/>
        <v>1764</v>
      </c>
      <c r="O52" s="48">
        <f t="shared" si="4"/>
        <v>0</v>
      </c>
      <c r="P52" s="46">
        <f t="shared" si="5"/>
        <v>0</v>
      </c>
      <c r="Q52" s="48">
        <f t="shared" si="6"/>
        <v>0</v>
      </c>
      <c r="R52" s="46">
        <f t="shared" si="7"/>
        <v>0</v>
      </c>
      <c r="S52" s="48">
        <f t="shared" si="8"/>
        <v>0</v>
      </c>
      <c r="T52" s="46">
        <f t="shared" si="9"/>
        <v>1764</v>
      </c>
      <c r="U52" s="48">
        <f t="shared" si="10"/>
        <v>0</v>
      </c>
      <c r="V52" s="46">
        <f t="shared" si="11"/>
        <v>0</v>
      </c>
      <c r="W52" s="48">
        <f t="shared" si="12"/>
        <v>0</v>
      </c>
      <c r="X52" s="46">
        <f t="shared" si="13"/>
        <v>1764</v>
      </c>
      <c r="Y52" s="48">
        <f t="shared" si="14"/>
        <v>0</v>
      </c>
      <c r="Z52" s="46">
        <f t="shared" si="15"/>
        <v>1764</v>
      </c>
    </row>
    <row r="53" spans="1:26" ht="12.75">
      <c r="A53" s="799">
        <v>613000</v>
      </c>
      <c r="B53" s="23"/>
      <c r="C53" s="48">
        <v>0</v>
      </c>
      <c r="D53" s="46">
        <v>0</v>
      </c>
      <c r="E53" s="48">
        <v>0</v>
      </c>
      <c r="F53" s="46">
        <v>0</v>
      </c>
      <c r="G53" s="48">
        <v>0</v>
      </c>
      <c r="H53" s="46">
        <v>0</v>
      </c>
      <c r="I53" s="48">
        <f t="shared" si="0"/>
        <v>0</v>
      </c>
      <c r="J53" s="46">
        <f t="shared" si="1"/>
        <v>0</v>
      </c>
      <c r="K53" s="48">
        <f t="shared" si="2"/>
        <v>0</v>
      </c>
      <c r="L53" s="46">
        <f t="shared" si="3"/>
        <v>1764</v>
      </c>
      <c r="O53" s="48">
        <f t="shared" si="4"/>
        <v>0</v>
      </c>
      <c r="P53" s="46">
        <f t="shared" si="5"/>
        <v>0</v>
      </c>
      <c r="Q53" s="48">
        <f t="shared" si="6"/>
        <v>0</v>
      </c>
      <c r="R53" s="46">
        <f t="shared" si="7"/>
        <v>0</v>
      </c>
      <c r="S53" s="48">
        <f t="shared" si="8"/>
        <v>0</v>
      </c>
      <c r="T53" s="46">
        <f t="shared" si="9"/>
        <v>1764</v>
      </c>
      <c r="U53" s="48">
        <f t="shared" si="10"/>
        <v>0</v>
      </c>
      <c r="V53" s="46">
        <f t="shared" si="11"/>
        <v>0</v>
      </c>
      <c r="W53" s="48">
        <f t="shared" si="12"/>
        <v>0</v>
      </c>
      <c r="X53" s="46">
        <f t="shared" si="13"/>
        <v>1764</v>
      </c>
      <c r="Y53" s="48">
        <f t="shared" si="14"/>
        <v>0</v>
      </c>
      <c r="Z53" s="46">
        <f t="shared" si="15"/>
        <v>1764</v>
      </c>
    </row>
    <row r="54" spans="1:26" ht="12.75">
      <c r="A54" s="799">
        <v>616000</v>
      </c>
      <c r="B54" s="23"/>
      <c r="C54" s="48">
        <v>0</v>
      </c>
      <c r="D54" s="46">
        <v>0</v>
      </c>
      <c r="E54" s="48">
        <v>0</v>
      </c>
      <c r="F54" s="46">
        <v>0</v>
      </c>
      <c r="G54" s="48">
        <v>0</v>
      </c>
      <c r="H54" s="46">
        <v>0</v>
      </c>
      <c r="I54" s="48">
        <f t="shared" si="0"/>
        <v>0</v>
      </c>
      <c r="J54" s="46">
        <f t="shared" si="1"/>
        <v>0</v>
      </c>
      <c r="K54" s="48">
        <f t="shared" si="2"/>
        <v>0</v>
      </c>
      <c r="L54" s="46">
        <f t="shared" si="3"/>
        <v>1764</v>
      </c>
      <c r="O54" s="48">
        <f t="shared" si="4"/>
        <v>0</v>
      </c>
      <c r="P54" s="46">
        <f t="shared" si="5"/>
        <v>0</v>
      </c>
      <c r="Q54" s="48">
        <f t="shared" si="6"/>
        <v>0</v>
      </c>
      <c r="R54" s="46">
        <f t="shared" si="7"/>
        <v>0</v>
      </c>
      <c r="S54" s="48">
        <f t="shared" si="8"/>
        <v>0</v>
      </c>
      <c r="T54" s="46">
        <f t="shared" si="9"/>
        <v>1764</v>
      </c>
      <c r="U54" s="48">
        <f t="shared" si="10"/>
        <v>0</v>
      </c>
      <c r="V54" s="46">
        <f t="shared" si="11"/>
        <v>0</v>
      </c>
      <c r="W54" s="48">
        <f t="shared" si="12"/>
        <v>0</v>
      </c>
      <c r="X54" s="46">
        <f t="shared" si="13"/>
        <v>1764</v>
      </c>
      <c r="Y54" s="48">
        <f t="shared" si="14"/>
        <v>0</v>
      </c>
      <c r="Z54" s="46">
        <f t="shared" si="15"/>
        <v>1764</v>
      </c>
    </row>
    <row r="55" spans="1:26" ht="12.75">
      <c r="A55" s="799">
        <v>615000</v>
      </c>
      <c r="B55" s="23"/>
      <c r="C55" s="48">
        <v>0</v>
      </c>
      <c r="D55" s="46">
        <v>0</v>
      </c>
      <c r="E55" s="48">
        <v>0</v>
      </c>
      <c r="F55" s="46">
        <v>0</v>
      </c>
      <c r="G55" s="48">
        <v>0</v>
      </c>
      <c r="H55" s="46">
        <v>0</v>
      </c>
      <c r="I55" s="48">
        <f t="shared" si="0"/>
        <v>0</v>
      </c>
      <c r="J55" s="46">
        <f t="shared" si="1"/>
        <v>0</v>
      </c>
      <c r="K55" s="48">
        <f t="shared" si="2"/>
        <v>0</v>
      </c>
      <c r="L55" s="46">
        <f t="shared" si="3"/>
        <v>1764</v>
      </c>
      <c r="O55" s="48">
        <f t="shared" si="4"/>
        <v>0</v>
      </c>
      <c r="P55" s="46">
        <f t="shared" si="5"/>
        <v>0</v>
      </c>
      <c r="Q55" s="48">
        <f t="shared" si="6"/>
        <v>0</v>
      </c>
      <c r="R55" s="46">
        <f t="shared" si="7"/>
        <v>0</v>
      </c>
      <c r="S55" s="48">
        <f t="shared" si="8"/>
        <v>0</v>
      </c>
      <c r="T55" s="46">
        <f t="shared" si="9"/>
        <v>1764</v>
      </c>
      <c r="U55" s="48">
        <f t="shared" si="10"/>
        <v>0</v>
      </c>
      <c r="V55" s="46">
        <f t="shared" si="11"/>
        <v>0</v>
      </c>
      <c r="W55" s="48">
        <f t="shared" si="12"/>
        <v>0</v>
      </c>
      <c r="X55" s="46">
        <f t="shared" si="13"/>
        <v>1764</v>
      </c>
      <c r="Y55" s="48">
        <f t="shared" si="14"/>
        <v>0</v>
      </c>
      <c r="Z55" s="46">
        <f t="shared" si="15"/>
        <v>1764</v>
      </c>
    </row>
    <row r="56" spans="1:26" ht="12.75">
      <c r="A56" s="799">
        <v>621100</v>
      </c>
      <c r="B56" s="23"/>
      <c r="C56" s="48">
        <v>0</v>
      </c>
      <c r="D56" s="46">
        <v>0</v>
      </c>
      <c r="E56" s="48">
        <v>0</v>
      </c>
      <c r="F56" s="46">
        <v>0</v>
      </c>
      <c r="G56" s="48">
        <v>0</v>
      </c>
      <c r="H56" s="46">
        <v>0</v>
      </c>
      <c r="I56" s="48">
        <f t="shared" si="0"/>
        <v>0</v>
      </c>
      <c r="J56" s="46">
        <f t="shared" si="1"/>
        <v>0</v>
      </c>
      <c r="K56" s="48">
        <f t="shared" si="2"/>
        <v>0</v>
      </c>
      <c r="L56" s="46">
        <f t="shared" si="3"/>
        <v>1764</v>
      </c>
      <c r="O56" s="48">
        <f t="shared" si="4"/>
        <v>0</v>
      </c>
      <c r="P56" s="46">
        <f t="shared" si="5"/>
        <v>0</v>
      </c>
      <c r="Q56" s="48">
        <f t="shared" si="6"/>
        <v>0</v>
      </c>
      <c r="R56" s="46">
        <f t="shared" si="7"/>
        <v>0</v>
      </c>
      <c r="S56" s="48">
        <f t="shared" si="8"/>
        <v>0</v>
      </c>
      <c r="T56" s="46">
        <f t="shared" si="9"/>
        <v>1764</v>
      </c>
      <c r="U56" s="48">
        <f t="shared" si="10"/>
        <v>0</v>
      </c>
      <c r="V56" s="46">
        <f t="shared" si="11"/>
        <v>0</v>
      </c>
      <c r="W56" s="48">
        <f t="shared" si="12"/>
        <v>0</v>
      </c>
      <c r="X56" s="46">
        <f t="shared" si="13"/>
        <v>1764</v>
      </c>
      <c r="Y56" s="48">
        <f t="shared" si="14"/>
        <v>0</v>
      </c>
      <c r="Z56" s="46">
        <f t="shared" si="15"/>
        <v>1764</v>
      </c>
    </row>
    <row r="57" spans="1:26" ht="12.75">
      <c r="A57" s="799">
        <v>623000</v>
      </c>
      <c r="B57" s="23"/>
      <c r="C57" s="48">
        <v>0</v>
      </c>
      <c r="D57" s="46">
        <v>0</v>
      </c>
      <c r="E57" s="48">
        <v>0</v>
      </c>
      <c r="F57" s="46">
        <v>0</v>
      </c>
      <c r="G57" s="48">
        <v>0</v>
      </c>
      <c r="H57" s="46">
        <v>0</v>
      </c>
      <c r="I57" s="48">
        <f t="shared" si="0"/>
        <v>0</v>
      </c>
      <c r="J57" s="46">
        <f t="shared" si="1"/>
        <v>0</v>
      </c>
      <c r="K57" s="48">
        <f t="shared" si="2"/>
        <v>0</v>
      </c>
      <c r="L57" s="46">
        <f t="shared" si="3"/>
        <v>1764</v>
      </c>
      <c r="O57" s="48">
        <f t="shared" si="4"/>
        <v>0</v>
      </c>
      <c r="P57" s="46">
        <f t="shared" si="5"/>
        <v>0</v>
      </c>
      <c r="Q57" s="48">
        <f t="shared" si="6"/>
        <v>0</v>
      </c>
      <c r="R57" s="46">
        <f t="shared" si="7"/>
        <v>0</v>
      </c>
      <c r="S57" s="48">
        <f t="shared" si="8"/>
        <v>0</v>
      </c>
      <c r="T57" s="46">
        <f t="shared" si="9"/>
        <v>1764</v>
      </c>
      <c r="U57" s="48">
        <f t="shared" si="10"/>
        <v>0</v>
      </c>
      <c r="V57" s="46">
        <f t="shared" si="11"/>
        <v>0</v>
      </c>
      <c r="W57" s="48">
        <f t="shared" si="12"/>
        <v>0</v>
      </c>
      <c r="X57" s="46">
        <f t="shared" si="13"/>
        <v>1764</v>
      </c>
      <c r="Y57" s="48">
        <f t="shared" si="14"/>
        <v>0</v>
      </c>
      <c r="Z57" s="46">
        <f t="shared" si="15"/>
        <v>1764</v>
      </c>
    </row>
    <row r="58" spans="1:26" ht="12.75">
      <c r="A58" s="799">
        <v>624000</v>
      </c>
      <c r="B58" s="23"/>
      <c r="C58" s="48">
        <v>0</v>
      </c>
      <c r="D58" s="46">
        <v>0</v>
      </c>
      <c r="E58" s="48">
        <v>0</v>
      </c>
      <c r="F58" s="46">
        <v>0</v>
      </c>
      <c r="G58" s="48">
        <v>0</v>
      </c>
      <c r="H58" s="46">
        <v>0</v>
      </c>
      <c r="I58" s="48">
        <f t="shared" si="0"/>
        <v>0</v>
      </c>
      <c r="J58" s="46">
        <f t="shared" si="1"/>
        <v>0</v>
      </c>
      <c r="K58" s="48">
        <f t="shared" si="2"/>
        <v>0</v>
      </c>
      <c r="L58" s="46">
        <f t="shared" si="3"/>
        <v>1764</v>
      </c>
      <c r="O58" s="48">
        <f t="shared" si="4"/>
        <v>0</v>
      </c>
      <c r="P58" s="46">
        <f t="shared" si="5"/>
        <v>0</v>
      </c>
      <c r="Q58" s="48">
        <f t="shared" si="6"/>
        <v>0</v>
      </c>
      <c r="R58" s="46">
        <f t="shared" si="7"/>
        <v>0</v>
      </c>
      <c r="S58" s="48">
        <f t="shared" si="8"/>
        <v>0</v>
      </c>
      <c r="T58" s="46">
        <f t="shared" si="9"/>
        <v>1764</v>
      </c>
      <c r="U58" s="48">
        <f t="shared" si="10"/>
        <v>0</v>
      </c>
      <c r="V58" s="46">
        <f t="shared" si="11"/>
        <v>0</v>
      </c>
      <c r="W58" s="48">
        <f t="shared" si="12"/>
        <v>0</v>
      </c>
      <c r="X58" s="46">
        <f t="shared" si="13"/>
        <v>1764</v>
      </c>
      <c r="Y58" s="48">
        <f t="shared" si="14"/>
        <v>0</v>
      </c>
      <c r="Z58" s="46">
        <f t="shared" si="15"/>
        <v>1764</v>
      </c>
    </row>
    <row r="59" spans="1:26" ht="12.75">
      <c r="A59" s="799">
        <v>626000</v>
      </c>
      <c r="B59" s="23"/>
      <c r="C59" s="48">
        <v>0</v>
      </c>
      <c r="D59" s="46">
        <v>0</v>
      </c>
      <c r="E59" s="48">
        <v>0</v>
      </c>
      <c r="F59" s="46">
        <v>0</v>
      </c>
      <c r="G59" s="48">
        <v>0</v>
      </c>
      <c r="H59" s="46">
        <v>0</v>
      </c>
      <c r="I59" s="48">
        <f t="shared" si="0"/>
        <v>0</v>
      </c>
      <c r="J59" s="46">
        <f t="shared" si="1"/>
        <v>0</v>
      </c>
      <c r="K59" s="48">
        <f t="shared" si="2"/>
        <v>0</v>
      </c>
      <c r="L59" s="46">
        <f t="shared" si="3"/>
        <v>1764</v>
      </c>
      <c r="O59" s="48">
        <f t="shared" si="4"/>
        <v>0</v>
      </c>
      <c r="P59" s="46">
        <f t="shared" si="5"/>
        <v>0</v>
      </c>
      <c r="Q59" s="48">
        <f t="shared" si="6"/>
        <v>0</v>
      </c>
      <c r="R59" s="46">
        <f t="shared" si="7"/>
        <v>0</v>
      </c>
      <c r="S59" s="48">
        <f t="shared" si="8"/>
        <v>0</v>
      </c>
      <c r="T59" s="46">
        <f t="shared" si="9"/>
        <v>1764</v>
      </c>
      <c r="U59" s="48">
        <f t="shared" si="10"/>
        <v>0</v>
      </c>
      <c r="V59" s="46">
        <f t="shared" si="11"/>
        <v>0</v>
      </c>
      <c r="W59" s="48">
        <f t="shared" si="12"/>
        <v>0</v>
      </c>
      <c r="X59" s="46">
        <f t="shared" si="13"/>
        <v>1764</v>
      </c>
      <c r="Y59" s="48">
        <f t="shared" si="14"/>
        <v>0</v>
      </c>
      <c r="Z59" s="46">
        <f t="shared" si="15"/>
        <v>1764</v>
      </c>
    </row>
    <row r="60" spans="1:26" ht="12.75">
      <c r="A60" s="799">
        <v>627000</v>
      </c>
      <c r="B60" s="23"/>
      <c r="C60" s="48">
        <v>0</v>
      </c>
      <c r="D60" s="46">
        <v>0</v>
      </c>
      <c r="E60" s="48">
        <v>0</v>
      </c>
      <c r="F60" s="46">
        <v>0</v>
      </c>
      <c r="G60" s="48">
        <v>0</v>
      </c>
      <c r="H60" s="46">
        <v>0</v>
      </c>
      <c r="I60" s="48">
        <f t="shared" si="0"/>
        <v>0</v>
      </c>
      <c r="J60" s="46">
        <f t="shared" si="1"/>
        <v>0</v>
      </c>
      <c r="K60" s="48">
        <f t="shared" si="2"/>
        <v>0</v>
      </c>
      <c r="L60" s="46">
        <f t="shared" si="3"/>
        <v>1764</v>
      </c>
      <c r="O60" s="48">
        <f t="shared" si="4"/>
        <v>0</v>
      </c>
      <c r="P60" s="46">
        <f t="shared" si="5"/>
        <v>0</v>
      </c>
      <c r="Q60" s="48">
        <f t="shared" si="6"/>
        <v>0</v>
      </c>
      <c r="R60" s="46">
        <f t="shared" si="7"/>
        <v>0</v>
      </c>
      <c r="S60" s="48">
        <f t="shared" si="8"/>
        <v>0</v>
      </c>
      <c r="T60" s="46">
        <f t="shared" si="9"/>
        <v>1764</v>
      </c>
      <c r="U60" s="48">
        <f t="shared" si="10"/>
        <v>0</v>
      </c>
      <c r="V60" s="46">
        <f t="shared" si="11"/>
        <v>0</v>
      </c>
      <c r="W60" s="48">
        <f t="shared" si="12"/>
        <v>0</v>
      </c>
      <c r="X60" s="46">
        <f t="shared" si="13"/>
        <v>1764</v>
      </c>
      <c r="Y60" s="48">
        <f t="shared" si="14"/>
        <v>0</v>
      </c>
      <c r="Z60" s="46">
        <f t="shared" si="15"/>
        <v>1764</v>
      </c>
    </row>
    <row r="61" spans="1:26" ht="12.75">
      <c r="A61" s="799">
        <v>631100</v>
      </c>
      <c r="B61" s="23"/>
      <c r="C61" s="48">
        <v>0</v>
      </c>
      <c r="D61" s="46">
        <v>0</v>
      </c>
      <c r="E61" s="48">
        <v>0</v>
      </c>
      <c r="F61" s="46">
        <v>0</v>
      </c>
      <c r="G61" s="48">
        <v>0</v>
      </c>
      <c r="H61" s="46">
        <v>0</v>
      </c>
      <c r="I61" s="48">
        <f t="shared" si="0"/>
        <v>0</v>
      </c>
      <c r="J61" s="46">
        <f t="shared" si="1"/>
        <v>0</v>
      </c>
      <c r="K61" s="48">
        <f t="shared" si="2"/>
        <v>0</v>
      </c>
      <c r="L61" s="46">
        <f t="shared" si="3"/>
        <v>1764</v>
      </c>
      <c r="O61" s="48">
        <f t="shared" si="4"/>
        <v>0</v>
      </c>
      <c r="P61" s="46">
        <f t="shared" si="5"/>
        <v>0</v>
      </c>
      <c r="Q61" s="48">
        <f t="shared" si="6"/>
        <v>0</v>
      </c>
      <c r="R61" s="46">
        <f t="shared" si="7"/>
        <v>0</v>
      </c>
      <c r="S61" s="48">
        <f t="shared" si="8"/>
        <v>0</v>
      </c>
      <c r="T61" s="46">
        <f t="shared" si="9"/>
        <v>1764</v>
      </c>
      <c r="U61" s="48">
        <f t="shared" si="10"/>
        <v>0</v>
      </c>
      <c r="V61" s="46">
        <f t="shared" si="11"/>
        <v>0</v>
      </c>
      <c r="W61" s="48">
        <f t="shared" si="12"/>
        <v>0</v>
      </c>
      <c r="X61" s="46">
        <f t="shared" si="13"/>
        <v>1764</v>
      </c>
      <c r="Y61" s="48">
        <f t="shared" si="14"/>
        <v>0</v>
      </c>
      <c r="Z61" s="46">
        <f t="shared" si="15"/>
        <v>1764</v>
      </c>
    </row>
    <row r="62" spans="1:26" ht="12.75">
      <c r="A62" s="799">
        <v>635000</v>
      </c>
      <c r="B62" s="23"/>
      <c r="C62" s="48">
        <v>0</v>
      </c>
      <c r="D62" s="46">
        <v>0</v>
      </c>
      <c r="E62" s="48">
        <v>0</v>
      </c>
      <c r="F62" s="46">
        <v>0</v>
      </c>
      <c r="G62" s="48">
        <v>0</v>
      </c>
      <c r="H62" s="46">
        <v>0</v>
      </c>
      <c r="I62" s="48">
        <f t="shared" si="0"/>
        <v>0</v>
      </c>
      <c r="J62" s="46">
        <f t="shared" si="1"/>
        <v>0</v>
      </c>
      <c r="K62" s="48">
        <f t="shared" si="2"/>
        <v>0</v>
      </c>
      <c r="L62" s="46">
        <f t="shared" si="3"/>
        <v>1764</v>
      </c>
      <c r="O62" s="48">
        <f t="shared" si="4"/>
        <v>0</v>
      </c>
      <c r="P62" s="46">
        <f t="shared" si="5"/>
        <v>0</v>
      </c>
      <c r="Q62" s="48">
        <f t="shared" si="6"/>
        <v>0</v>
      </c>
      <c r="R62" s="46">
        <f t="shared" si="7"/>
        <v>0</v>
      </c>
      <c r="S62" s="48">
        <f t="shared" si="8"/>
        <v>0</v>
      </c>
      <c r="T62" s="46">
        <f t="shared" si="9"/>
        <v>1764</v>
      </c>
      <c r="U62" s="48">
        <f t="shared" si="10"/>
        <v>0</v>
      </c>
      <c r="V62" s="46">
        <f t="shared" si="11"/>
        <v>0</v>
      </c>
      <c r="W62" s="48">
        <f t="shared" si="12"/>
        <v>0</v>
      </c>
      <c r="X62" s="46">
        <f t="shared" si="13"/>
        <v>1764</v>
      </c>
      <c r="Y62" s="48">
        <f t="shared" si="14"/>
        <v>0</v>
      </c>
      <c r="Z62" s="46">
        <f t="shared" si="15"/>
        <v>1764</v>
      </c>
    </row>
    <row r="63" spans="1:26" ht="12.75">
      <c r="A63" s="799">
        <v>641000</v>
      </c>
      <c r="B63" s="23"/>
      <c r="C63" s="48">
        <v>0</v>
      </c>
      <c r="D63" s="46">
        <v>0</v>
      </c>
      <c r="E63" s="48">
        <v>0</v>
      </c>
      <c r="F63" s="46">
        <v>0</v>
      </c>
      <c r="G63" s="48">
        <v>0</v>
      </c>
      <c r="H63" s="46">
        <v>0</v>
      </c>
      <c r="I63" s="48">
        <f t="shared" si="0"/>
        <v>0</v>
      </c>
      <c r="J63" s="46">
        <f t="shared" si="1"/>
        <v>0</v>
      </c>
      <c r="K63" s="48">
        <f t="shared" si="2"/>
        <v>0</v>
      </c>
      <c r="L63" s="46">
        <f t="shared" si="3"/>
        <v>1764</v>
      </c>
      <c r="O63" s="48">
        <f t="shared" si="4"/>
        <v>0</v>
      </c>
      <c r="P63" s="46">
        <f t="shared" si="5"/>
        <v>0</v>
      </c>
      <c r="Q63" s="48">
        <f t="shared" si="6"/>
        <v>0</v>
      </c>
      <c r="R63" s="46">
        <f t="shared" si="7"/>
        <v>0</v>
      </c>
      <c r="S63" s="48">
        <f t="shared" si="8"/>
        <v>0</v>
      </c>
      <c r="T63" s="46">
        <f t="shared" si="9"/>
        <v>1764</v>
      </c>
      <c r="U63" s="48">
        <f t="shared" si="10"/>
        <v>0</v>
      </c>
      <c r="V63" s="46">
        <f t="shared" si="11"/>
        <v>0</v>
      </c>
      <c r="W63" s="48">
        <f t="shared" si="12"/>
        <v>0</v>
      </c>
      <c r="X63" s="46">
        <f t="shared" si="13"/>
        <v>1764</v>
      </c>
      <c r="Y63" s="48">
        <f t="shared" si="14"/>
        <v>0</v>
      </c>
      <c r="Z63" s="46">
        <f t="shared" si="15"/>
        <v>1764</v>
      </c>
    </row>
    <row r="64" spans="1:26" ht="12.75">
      <c r="A64" s="799">
        <v>645000</v>
      </c>
      <c r="B64" s="23"/>
      <c r="C64" s="48">
        <v>0</v>
      </c>
      <c r="D64" s="46">
        <v>0</v>
      </c>
      <c r="E64" s="48">
        <v>0</v>
      </c>
      <c r="F64" s="46">
        <v>0</v>
      </c>
      <c r="G64" s="48">
        <v>0</v>
      </c>
      <c r="H64" s="46">
        <v>0</v>
      </c>
      <c r="I64" s="48">
        <f t="shared" si="0"/>
        <v>0</v>
      </c>
      <c r="J64" s="46">
        <f t="shared" si="1"/>
        <v>0</v>
      </c>
      <c r="K64" s="48">
        <f t="shared" si="2"/>
        <v>0</v>
      </c>
      <c r="L64" s="46">
        <f t="shared" si="3"/>
        <v>1764</v>
      </c>
      <c r="O64" s="48">
        <f t="shared" si="4"/>
        <v>0</v>
      </c>
      <c r="P64" s="46">
        <f t="shared" si="5"/>
        <v>0</v>
      </c>
      <c r="Q64" s="48">
        <f t="shared" si="6"/>
        <v>0</v>
      </c>
      <c r="R64" s="46">
        <f t="shared" si="7"/>
        <v>0</v>
      </c>
      <c r="S64" s="48">
        <f t="shared" si="8"/>
        <v>0</v>
      </c>
      <c r="T64" s="46">
        <f t="shared" si="9"/>
        <v>1764</v>
      </c>
      <c r="U64" s="48">
        <f t="shared" si="10"/>
        <v>0</v>
      </c>
      <c r="V64" s="46">
        <f t="shared" si="11"/>
        <v>0</v>
      </c>
      <c r="W64" s="48">
        <f t="shared" si="12"/>
        <v>0</v>
      </c>
      <c r="X64" s="46">
        <f t="shared" si="13"/>
        <v>1764</v>
      </c>
      <c r="Y64" s="48">
        <f t="shared" si="14"/>
        <v>0</v>
      </c>
      <c r="Z64" s="46">
        <f t="shared" si="15"/>
        <v>1764</v>
      </c>
    </row>
    <row r="65" spans="1:26" ht="12.75">
      <c r="A65" s="799">
        <v>661000</v>
      </c>
      <c r="B65" s="23"/>
      <c r="C65" s="48">
        <v>0</v>
      </c>
      <c r="D65" s="46">
        <v>0</v>
      </c>
      <c r="E65" s="48">
        <v>0</v>
      </c>
      <c r="F65" s="46">
        <v>0</v>
      </c>
      <c r="G65" s="48">
        <v>0</v>
      </c>
      <c r="H65" s="46">
        <v>0</v>
      </c>
      <c r="I65" s="48">
        <f t="shared" si="0"/>
        <v>0</v>
      </c>
      <c r="J65" s="46">
        <f t="shared" si="1"/>
        <v>0</v>
      </c>
      <c r="K65" s="48">
        <f t="shared" si="2"/>
        <v>0</v>
      </c>
      <c r="L65" s="46">
        <f t="shared" si="3"/>
        <v>1764</v>
      </c>
      <c r="O65" s="48">
        <f t="shared" si="4"/>
        <v>0</v>
      </c>
      <c r="P65" s="46">
        <f t="shared" si="5"/>
        <v>0</v>
      </c>
      <c r="Q65" s="48">
        <f t="shared" si="6"/>
        <v>0</v>
      </c>
      <c r="R65" s="46">
        <f t="shared" si="7"/>
        <v>0</v>
      </c>
      <c r="S65" s="48">
        <f t="shared" si="8"/>
        <v>0</v>
      </c>
      <c r="T65" s="46">
        <f t="shared" si="9"/>
        <v>1764</v>
      </c>
      <c r="U65" s="48">
        <f t="shared" si="10"/>
        <v>0</v>
      </c>
      <c r="V65" s="46">
        <f t="shared" si="11"/>
        <v>0</v>
      </c>
      <c r="W65" s="48">
        <f t="shared" si="12"/>
        <v>0</v>
      </c>
      <c r="X65" s="46">
        <f t="shared" si="13"/>
        <v>1764</v>
      </c>
      <c r="Y65" s="48">
        <f t="shared" si="14"/>
        <v>0</v>
      </c>
      <c r="Z65" s="46">
        <f t="shared" si="15"/>
        <v>1764</v>
      </c>
    </row>
    <row r="66" spans="1:26" ht="12.75">
      <c r="A66" s="799">
        <v>675000</v>
      </c>
      <c r="B66" s="23"/>
      <c r="C66" s="48">
        <v>0</v>
      </c>
      <c r="D66" s="46">
        <v>0</v>
      </c>
      <c r="E66" s="48">
        <v>0</v>
      </c>
      <c r="F66" s="46">
        <v>0</v>
      </c>
      <c r="G66" s="48">
        <v>0</v>
      </c>
      <c r="H66" s="46">
        <v>0</v>
      </c>
      <c r="I66" s="48">
        <f t="shared" si="0"/>
        <v>0</v>
      </c>
      <c r="J66" s="46">
        <f t="shared" si="1"/>
        <v>0</v>
      </c>
      <c r="K66" s="48">
        <f t="shared" si="2"/>
        <v>0</v>
      </c>
      <c r="L66" s="46">
        <f t="shared" si="3"/>
        <v>1764</v>
      </c>
      <c r="O66" s="48">
        <f t="shared" si="4"/>
        <v>0</v>
      </c>
      <c r="P66" s="46">
        <f t="shared" si="5"/>
        <v>0</v>
      </c>
      <c r="Q66" s="48">
        <f t="shared" si="6"/>
        <v>0</v>
      </c>
      <c r="R66" s="46">
        <f t="shared" si="7"/>
        <v>0</v>
      </c>
      <c r="S66" s="48">
        <f t="shared" si="8"/>
        <v>0</v>
      </c>
      <c r="T66" s="46">
        <f t="shared" si="9"/>
        <v>1764</v>
      </c>
      <c r="U66" s="48">
        <f t="shared" si="10"/>
        <v>0</v>
      </c>
      <c r="V66" s="46">
        <f t="shared" si="11"/>
        <v>0</v>
      </c>
      <c r="W66" s="48">
        <f t="shared" si="12"/>
        <v>0</v>
      </c>
      <c r="X66" s="46">
        <f t="shared" si="13"/>
        <v>1764</v>
      </c>
      <c r="Y66" s="48">
        <f t="shared" si="14"/>
        <v>0</v>
      </c>
      <c r="Z66" s="46">
        <f t="shared" si="15"/>
        <v>1764</v>
      </c>
    </row>
    <row r="67" spans="1:26" ht="12.75">
      <c r="A67" s="799">
        <v>681000</v>
      </c>
      <c r="B67" s="23"/>
      <c r="C67" s="48">
        <v>0</v>
      </c>
      <c r="D67" s="46">
        <v>0</v>
      </c>
      <c r="E67" s="48">
        <v>0</v>
      </c>
      <c r="F67" s="46">
        <v>0</v>
      </c>
      <c r="G67" s="48">
        <v>0</v>
      </c>
      <c r="H67" s="46">
        <v>0</v>
      </c>
      <c r="I67" s="48">
        <f t="shared" si="0"/>
        <v>0</v>
      </c>
      <c r="J67" s="46">
        <f t="shared" si="1"/>
        <v>0</v>
      </c>
      <c r="K67" s="48">
        <f t="shared" si="2"/>
        <v>0</v>
      </c>
      <c r="L67" s="46">
        <f t="shared" si="3"/>
        <v>1764</v>
      </c>
      <c r="O67" s="48">
        <f t="shared" si="4"/>
        <v>0</v>
      </c>
      <c r="P67" s="46">
        <f t="shared" si="5"/>
        <v>0</v>
      </c>
      <c r="Q67" s="48">
        <f t="shared" si="6"/>
        <v>0</v>
      </c>
      <c r="R67" s="46">
        <f t="shared" si="7"/>
        <v>0</v>
      </c>
      <c r="S67" s="48">
        <f t="shared" si="8"/>
        <v>0</v>
      </c>
      <c r="T67" s="46">
        <f t="shared" si="9"/>
        <v>1764</v>
      </c>
      <c r="U67" s="48">
        <f t="shared" si="10"/>
        <v>0</v>
      </c>
      <c r="V67" s="46">
        <f t="shared" si="11"/>
        <v>0</v>
      </c>
      <c r="W67" s="48">
        <f t="shared" si="12"/>
        <v>0</v>
      </c>
      <c r="X67" s="46">
        <f t="shared" si="13"/>
        <v>1764</v>
      </c>
      <c r="Y67" s="48">
        <f t="shared" si="14"/>
        <v>0</v>
      </c>
      <c r="Z67" s="46">
        <f t="shared" si="15"/>
        <v>1764</v>
      </c>
    </row>
    <row r="68" spans="1:26" ht="12.75">
      <c r="A68" s="799">
        <v>695000</v>
      </c>
      <c r="B68" s="23"/>
      <c r="C68" s="48">
        <v>0</v>
      </c>
      <c r="D68" s="46">
        <v>0</v>
      </c>
      <c r="E68" s="48">
        <v>0</v>
      </c>
      <c r="F68" s="46">
        <v>0</v>
      </c>
      <c r="G68" s="48">
        <v>0</v>
      </c>
      <c r="H68" s="46">
        <v>0</v>
      </c>
      <c r="I68" s="48">
        <f t="shared" si="0"/>
        <v>0</v>
      </c>
      <c r="J68" s="46">
        <f t="shared" si="1"/>
        <v>0</v>
      </c>
      <c r="K68" s="48">
        <f t="shared" si="2"/>
        <v>0</v>
      </c>
      <c r="L68" s="46">
        <f t="shared" si="3"/>
        <v>1764</v>
      </c>
      <c r="O68" s="48">
        <f t="shared" si="4"/>
        <v>0</v>
      </c>
      <c r="P68" s="46">
        <f t="shared" si="5"/>
        <v>0</v>
      </c>
      <c r="Q68" s="48">
        <f t="shared" si="6"/>
        <v>0</v>
      </c>
      <c r="R68" s="46">
        <f t="shared" si="7"/>
        <v>0</v>
      </c>
      <c r="S68" s="48">
        <f t="shared" si="8"/>
        <v>0</v>
      </c>
      <c r="T68" s="46">
        <f t="shared" si="9"/>
        <v>1764</v>
      </c>
      <c r="U68" s="48">
        <f t="shared" si="10"/>
        <v>0</v>
      </c>
      <c r="V68" s="46">
        <f t="shared" si="11"/>
        <v>0</v>
      </c>
      <c r="W68" s="48">
        <f t="shared" si="12"/>
        <v>0</v>
      </c>
      <c r="X68" s="46">
        <f t="shared" si="13"/>
        <v>1764</v>
      </c>
      <c r="Y68" s="48">
        <f t="shared" si="14"/>
        <v>0</v>
      </c>
      <c r="Z68" s="46">
        <f t="shared" si="15"/>
        <v>1764</v>
      </c>
    </row>
    <row r="69" spans="1:26" ht="12.75">
      <c r="A69" s="800"/>
      <c r="B69" s="23"/>
      <c r="C69" s="48">
        <v>0</v>
      </c>
      <c r="D69" s="46">
        <v>0</v>
      </c>
      <c r="E69" s="48">
        <v>0</v>
      </c>
      <c r="F69" s="46">
        <v>0</v>
      </c>
      <c r="G69" s="48">
        <v>0</v>
      </c>
      <c r="H69" s="46">
        <v>0</v>
      </c>
      <c r="I69" s="48">
        <f t="shared" si="0"/>
        <v>0</v>
      </c>
      <c r="J69" s="46">
        <f t="shared" si="1"/>
        <v>0</v>
      </c>
      <c r="K69" s="48">
        <f t="shared" si="2"/>
        <v>0</v>
      </c>
      <c r="L69" s="46">
        <f t="shared" si="3"/>
        <v>1764</v>
      </c>
      <c r="O69" s="48">
        <f t="shared" si="4"/>
        <v>0</v>
      </c>
      <c r="P69" s="46">
        <f t="shared" si="5"/>
        <v>0</v>
      </c>
      <c r="Q69" s="48">
        <f t="shared" si="6"/>
        <v>0</v>
      </c>
      <c r="R69" s="46">
        <f t="shared" si="7"/>
        <v>0</v>
      </c>
      <c r="S69" s="48">
        <f t="shared" si="8"/>
        <v>0</v>
      </c>
      <c r="T69" s="46">
        <f t="shared" si="9"/>
        <v>1764</v>
      </c>
      <c r="U69" s="48">
        <f t="shared" si="10"/>
        <v>0</v>
      </c>
      <c r="V69" s="46">
        <f t="shared" si="11"/>
        <v>0</v>
      </c>
      <c r="W69" s="48">
        <f t="shared" si="12"/>
        <v>0</v>
      </c>
      <c r="X69" s="46">
        <f t="shared" si="13"/>
        <v>1764</v>
      </c>
      <c r="Y69" s="48">
        <f t="shared" si="14"/>
        <v>0</v>
      </c>
      <c r="Z69" s="46">
        <f t="shared" si="15"/>
        <v>1764</v>
      </c>
    </row>
    <row r="70" spans="1:26" ht="12.75">
      <c r="A70" s="1488" t="s">
        <v>678</v>
      </c>
      <c r="B70" s="1489"/>
      <c r="C70" s="401">
        <f>SUM(C47:C69)</f>
        <v>0</v>
      </c>
      <c r="D70" s="797">
        <f aca="true" t="shared" si="21" ref="D70:L70">SUM(D47:D69)</f>
        <v>0</v>
      </c>
      <c r="E70" s="401">
        <f t="shared" si="21"/>
        <v>0</v>
      </c>
      <c r="F70" s="797">
        <f t="shared" si="21"/>
        <v>0</v>
      </c>
      <c r="G70" s="401">
        <f t="shared" si="21"/>
        <v>0</v>
      </c>
      <c r="H70" s="797">
        <f t="shared" si="21"/>
        <v>0</v>
      </c>
      <c r="I70" s="401">
        <f t="shared" si="21"/>
        <v>0</v>
      </c>
      <c r="J70" s="797">
        <f t="shared" si="21"/>
        <v>0</v>
      </c>
      <c r="K70" s="401">
        <f t="shared" si="21"/>
        <v>0</v>
      </c>
      <c r="L70" s="797">
        <f t="shared" si="21"/>
        <v>40572</v>
      </c>
      <c r="O70" s="48">
        <f aca="true" t="shared" si="22" ref="O70:O81">IF(C70-D70&gt;0,C70-D70,0)</f>
        <v>0</v>
      </c>
      <c r="P70" s="46">
        <f aca="true" t="shared" si="23" ref="P70:P81">IF(D70-C70&gt;0,D70-C70,0)</f>
        <v>0</v>
      </c>
      <c r="Q70" s="48">
        <f aca="true" t="shared" si="24" ref="Q70:Q81">IF(E70-F70&gt;0,E70-F70,0)</f>
        <v>0</v>
      </c>
      <c r="R70" s="46">
        <f aca="true" t="shared" si="25" ref="R70:R81">IF(F70-E70&gt;0,F70-E70,0)</f>
        <v>0</v>
      </c>
      <c r="S70" s="48">
        <f aca="true" t="shared" si="26" ref="S70:S81">$S$3*O70</f>
        <v>0</v>
      </c>
      <c r="T70" s="46">
        <f aca="true" t="shared" si="27" ref="T70:T81">$T$3*$P$5</f>
        <v>1764</v>
      </c>
      <c r="U70" s="48">
        <f aca="true" t="shared" si="28" ref="U70:U81">$U$3*Q70</f>
        <v>0</v>
      </c>
      <c r="V70" s="46">
        <f aca="true" t="shared" si="29" ref="V70:V81">$V$3*R70</f>
        <v>0</v>
      </c>
      <c r="W70" s="48">
        <f aca="true" t="shared" si="30" ref="W70:W81">S70+U70</f>
        <v>0</v>
      </c>
      <c r="X70" s="46">
        <f aca="true" t="shared" si="31" ref="X70:X81">T70+V70</f>
        <v>1764</v>
      </c>
      <c r="Y70" s="48">
        <f aca="true" t="shared" si="32" ref="Y70:Y81">IF(W70-X70&gt;0,W70-X70,0)</f>
        <v>0</v>
      </c>
      <c r="Z70" s="46">
        <f aca="true" t="shared" si="33" ref="Z70:Z81">IF(X70-W70&gt;0,X70-W70,0)</f>
        <v>1764</v>
      </c>
    </row>
    <row r="71" spans="1:26" ht="12.75">
      <c r="A71" s="798"/>
      <c r="B71" s="23"/>
      <c r="C71" s="48">
        <v>0</v>
      </c>
      <c r="D71" s="46">
        <v>0</v>
      </c>
      <c r="E71" s="48">
        <v>0</v>
      </c>
      <c r="F71" s="46">
        <v>0</v>
      </c>
      <c r="G71" s="48">
        <v>0</v>
      </c>
      <c r="H71" s="46">
        <v>0</v>
      </c>
      <c r="I71" s="48">
        <f aca="true" t="shared" si="34" ref="I71:I80">IF(G71-H71&gt;0,G71-H71,0)</f>
        <v>0</v>
      </c>
      <c r="J71" s="46">
        <f aca="true" t="shared" si="35" ref="J71:J80">IF(H71-G71&gt;0,H71-G71,0)</f>
        <v>0</v>
      </c>
      <c r="K71" s="48">
        <f aca="true" t="shared" si="36" ref="K71:K80">Y71</f>
        <v>0</v>
      </c>
      <c r="L71" s="46">
        <f aca="true" t="shared" si="37" ref="L71:L80">Z71</f>
        <v>1764</v>
      </c>
      <c r="O71" s="48">
        <f t="shared" si="22"/>
        <v>0</v>
      </c>
      <c r="P71" s="46">
        <f t="shared" si="23"/>
        <v>0</v>
      </c>
      <c r="Q71" s="48">
        <f t="shared" si="24"/>
        <v>0</v>
      </c>
      <c r="R71" s="46">
        <f t="shared" si="25"/>
        <v>0</v>
      </c>
      <c r="S71" s="48">
        <f t="shared" si="26"/>
        <v>0</v>
      </c>
      <c r="T71" s="46">
        <f t="shared" si="27"/>
        <v>1764</v>
      </c>
      <c r="U71" s="48">
        <f t="shared" si="28"/>
        <v>0</v>
      </c>
      <c r="V71" s="46">
        <f t="shared" si="29"/>
        <v>0</v>
      </c>
      <c r="W71" s="48">
        <f t="shared" si="30"/>
        <v>0</v>
      </c>
      <c r="X71" s="46">
        <f t="shared" si="31"/>
        <v>1764</v>
      </c>
      <c r="Y71" s="48">
        <f t="shared" si="32"/>
        <v>0</v>
      </c>
      <c r="Z71" s="46">
        <f t="shared" si="33"/>
        <v>1764</v>
      </c>
    </row>
    <row r="72" spans="1:26" ht="12.75">
      <c r="A72" s="799">
        <v>701000</v>
      </c>
      <c r="B72" s="23"/>
      <c r="C72" s="48">
        <v>0</v>
      </c>
      <c r="D72" s="46">
        <v>0</v>
      </c>
      <c r="E72" s="48">
        <v>0</v>
      </c>
      <c r="F72" s="46">
        <v>0</v>
      </c>
      <c r="G72" s="48">
        <v>0</v>
      </c>
      <c r="H72" s="46">
        <v>0</v>
      </c>
      <c r="I72" s="48">
        <f t="shared" si="34"/>
        <v>0</v>
      </c>
      <c r="J72" s="46">
        <f t="shared" si="35"/>
        <v>0</v>
      </c>
      <c r="K72" s="48">
        <f t="shared" si="36"/>
        <v>0</v>
      </c>
      <c r="L72" s="46">
        <f t="shared" si="37"/>
        <v>1764</v>
      </c>
      <c r="O72" s="48">
        <f t="shared" si="22"/>
        <v>0</v>
      </c>
      <c r="P72" s="46">
        <f t="shared" si="23"/>
        <v>0</v>
      </c>
      <c r="Q72" s="48">
        <f t="shared" si="24"/>
        <v>0</v>
      </c>
      <c r="R72" s="46">
        <f t="shared" si="25"/>
        <v>0</v>
      </c>
      <c r="S72" s="48">
        <f t="shared" si="26"/>
        <v>0</v>
      </c>
      <c r="T72" s="46">
        <f t="shared" si="27"/>
        <v>1764</v>
      </c>
      <c r="U72" s="48">
        <f t="shared" si="28"/>
        <v>0</v>
      </c>
      <c r="V72" s="46">
        <f t="shared" si="29"/>
        <v>0</v>
      </c>
      <c r="W72" s="48">
        <f t="shared" si="30"/>
        <v>0</v>
      </c>
      <c r="X72" s="46">
        <f t="shared" si="31"/>
        <v>1764</v>
      </c>
      <c r="Y72" s="48">
        <f t="shared" si="32"/>
        <v>0</v>
      </c>
      <c r="Z72" s="46">
        <f t="shared" si="33"/>
        <v>1764</v>
      </c>
    </row>
    <row r="73" spans="1:26" ht="12.75">
      <c r="A73" s="799">
        <v>709000</v>
      </c>
      <c r="B73" s="23"/>
      <c r="C73" s="48">
        <v>0</v>
      </c>
      <c r="D73" s="46">
        <v>0</v>
      </c>
      <c r="E73" s="48">
        <v>0</v>
      </c>
      <c r="F73" s="46">
        <v>0</v>
      </c>
      <c r="G73" s="48">
        <v>0</v>
      </c>
      <c r="H73" s="46">
        <v>0</v>
      </c>
      <c r="I73" s="48">
        <f t="shared" si="34"/>
        <v>0</v>
      </c>
      <c r="J73" s="46">
        <f t="shared" si="35"/>
        <v>0</v>
      </c>
      <c r="K73" s="48">
        <f t="shared" si="36"/>
        <v>0</v>
      </c>
      <c r="L73" s="46">
        <f t="shared" si="37"/>
        <v>1764</v>
      </c>
      <c r="O73" s="48">
        <f t="shared" si="22"/>
        <v>0</v>
      </c>
      <c r="P73" s="46">
        <f t="shared" si="23"/>
        <v>0</v>
      </c>
      <c r="Q73" s="48">
        <f t="shared" si="24"/>
        <v>0</v>
      </c>
      <c r="R73" s="46">
        <f t="shared" si="25"/>
        <v>0</v>
      </c>
      <c r="S73" s="48">
        <f t="shared" si="26"/>
        <v>0</v>
      </c>
      <c r="T73" s="46">
        <f t="shared" si="27"/>
        <v>1764</v>
      </c>
      <c r="U73" s="48">
        <f t="shared" si="28"/>
        <v>0</v>
      </c>
      <c r="V73" s="46">
        <f t="shared" si="29"/>
        <v>0</v>
      </c>
      <c r="W73" s="48">
        <f t="shared" si="30"/>
        <v>0</v>
      </c>
      <c r="X73" s="46">
        <f t="shared" si="31"/>
        <v>1764</v>
      </c>
      <c r="Y73" s="48">
        <f t="shared" si="32"/>
        <v>0</v>
      </c>
      <c r="Z73" s="46">
        <f t="shared" si="33"/>
        <v>1764</v>
      </c>
    </row>
    <row r="74" spans="1:26" ht="12.75">
      <c r="A74" s="799">
        <v>707000</v>
      </c>
      <c r="B74" s="23"/>
      <c r="C74" s="48">
        <v>0</v>
      </c>
      <c r="D74" s="46">
        <v>0</v>
      </c>
      <c r="E74" s="48">
        <v>0</v>
      </c>
      <c r="F74" s="46">
        <v>0</v>
      </c>
      <c r="G74" s="48">
        <v>0</v>
      </c>
      <c r="H74" s="46">
        <v>0</v>
      </c>
      <c r="I74" s="48">
        <f t="shared" si="34"/>
        <v>0</v>
      </c>
      <c r="J74" s="46">
        <f t="shared" si="35"/>
        <v>0</v>
      </c>
      <c r="K74" s="48">
        <f t="shared" si="36"/>
        <v>0</v>
      </c>
      <c r="L74" s="46">
        <f t="shared" si="37"/>
        <v>1764</v>
      </c>
      <c r="O74" s="48">
        <f t="shared" si="22"/>
        <v>0</v>
      </c>
      <c r="P74" s="46">
        <f t="shared" si="23"/>
        <v>0</v>
      </c>
      <c r="Q74" s="48">
        <f t="shared" si="24"/>
        <v>0</v>
      </c>
      <c r="R74" s="46">
        <f t="shared" si="25"/>
        <v>0</v>
      </c>
      <c r="S74" s="48">
        <f t="shared" si="26"/>
        <v>0</v>
      </c>
      <c r="T74" s="46">
        <f t="shared" si="27"/>
        <v>1764</v>
      </c>
      <c r="U74" s="48">
        <f t="shared" si="28"/>
        <v>0</v>
      </c>
      <c r="V74" s="46">
        <f t="shared" si="29"/>
        <v>0</v>
      </c>
      <c r="W74" s="48">
        <f t="shared" si="30"/>
        <v>0</v>
      </c>
      <c r="X74" s="46">
        <f t="shared" si="31"/>
        <v>1764</v>
      </c>
      <c r="Y74" s="48">
        <f t="shared" si="32"/>
        <v>0</v>
      </c>
      <c r="Z74" s="46">
        <f t="shared" si="33"/>
        <v>1764</v>
      </c>
    </row>
    <row r="75" spans="1:26" ht="12.75">
      <c r="A75" s="799">
        <v>713500</v>
      </c>
      <c r="B75" s="23"/>
      <c r="C75" s="48">
        <v>0</v>
      </c>
      <c r="D75" s="46">
        <v>0</v>
      </c>
      <c r="E75" s="48">
        <v>0</v>
      </c>
      <c r="F75" s="46">
        <v>0</v>
      </c>
      <c r="G75" s="48">
        <v>0</v>
      </c>
      <c r="H75" s="46">
        <v>0</v>
      </c>
      <c r="I75" s="48">
        <f t="shared" si="34"/>
        <v>0</v>
      </c>
      <c r="J75" s="46">
        <f t="shared" si="35"/>
        <v>0</v>
      </c>
      <c r="K75" s="48">
        <f t="shared" si="36"/>
        <v>0</v>
      </c>
      <c r="L75" s="46">
        <f t="shared" si="37"/>
        <v>1764</v>
      </c>
      <c r="O75" s="48">
        <f t="shared" si="22"/>
        <v>0</v>
      </c>
      <c r="P75" s="46">
        <f t="shared" si="23"/>
        <v>0</v>
      </c>
      <c r="Q75" s="48">
        <f t="shared" si="24"/>
        <v>0</v>
      </c>
      <c r="R75" s="46">
        <f t="shared" si="25"/>
        <v>0</v>
      </c>
      <c r="S75" s="48">
        <f t="shared" si="26"/>
        <v>0</v>
      </c>
      <c r="T75" s="46">
        <f t="shared" si="27"/>
        <v>1764</v>
      </c>
      <c r="U75" s="48">
        <f t="shared" si="28"/>
        <v>0</v>
      </c>
      <c r="V75" s="46">
        <f t="shared" si="29"/>
        <v>0</v>
      </c>
      <c r="W75" s="48">
        <f t="shared" si="30"/>
        <v>0</v>
      </c>
      <c r="X75" s="46">
        <f t="shared" si="31"/>
        <v>1764</v>
      </c>
      <c r="Y75" s="48">
        <f t="shared" si="32"/>
        <v>0</v>
      </c>
      <c r="Z75" s="46">
        <f t="shared" si="33"/>
        <v>1764</v>
      </c>
    </row>
    <row r="76" spans="1:26" ht="12.75">
      <c r="A76" s="799">
        <v>764000</v>
      </c>
      <c r="B76" s="23"/>
      <c r="C76" s="48">
        <v>0</v>
      </c>
      <c r="D76" s="46">
        <v>0</v>
      </c>
      <c r="E76" s="48">
        <v>0</v>
      </c>
      <c r="F76" s="46">
        <v>0</v>
      </c>
      <c r="G76" s="48">
        <v>0</v>
      </c>
      <c r="H76" s="46">
        <v>0</v>
      </c>
      <c r="I76" s="48">
        <f t="shared" si="34"/>
        <v>0</v>
      </c>
      <c r="J76" s="46">
        <f t="shared" si="35"/>
        <v>0</v>
      </c>
      <c r="K76" s="48">
        <f t="shared" si="36"/>
        <v>0</v>
      </c>
      <c r="L76" s="46">
        <f t="shared" si="37"/>
        <v>1764</v>
      </c>
      <c r="O76" s="48">
        <f t="shared" si="22"/>
        <v>0</v>
      </c>
      <c r="P76" s="46">
        <f t="shared" si="23"/>
        <v>0</v>
      </c>
      <c r="Q76" s="48">
        <f t="shared" si="24"/>
        <v>0</v>
      </c>
      <c r="R76" s="46">
        <f t="shared" si="25"/>
        <v>0</v>
      </c>
      <c r="S76" s="48">
        <f t="shared" si="26"/>
        <v>0</v>
      </c>
      <c r="T76" s="46">
        <f t="shared" si="27"/>
        <v>1764</v>
      </c>
      <c r="U76" s="48">
        <f t="shared" si="28"/>
        <v>0</v>
      </c>
      <c r="V76" s="46">
        <f t="shared" si="29"/>
        <v>0</v>
      </c>
      <c r="W76" s="48">
        <f t="shared" si="30"/>
        <v>0</v>
      </c>
      <c r="X76" s="46">
        <f t="shared" si="31"/>
        <v>1764</v>
      </c>
      <c r="Y76" s="48">
        <f t="shared" si="32"/>
        <v>0</v>
      </c>
      <c r="Z76" s="46">
        <f t="shared" si="33"/>
        <v>1764</v>
      </c>
    </row>
    <row r="77" spans="1:26" ht="12.75">
      <c r="A77" s="799">
        <v>775000</v>
      </c>
      <c r="B77" s="23"/>
      <c r="C77" s="48">
        <v>0</v>
      </c>
      <c r="D77" s="46">
        <v>0</v>
      </c>
      <c r="E77" s="48">
        <v>0</v>
      </c>
      <c r="F77" s="46">
        <v>0</v>
      </c>
      <c r="G77" s="48">
        <v>0</v>
      </c>
      <c r="H77" s="46">
        <v>0</v>
      </c>
      <c r="I77" s="48">
        <f t="shared" si="34"/>
        <v>0</v>
      </c>
      <c r="J77" s="46">
        <f t="shared" si="35"/>
        <v>0</v>
      </c>
      <c r="K77" s="48">
        <f t="shared" si="36"/>
        <v>0</v>
      </c>
      <c r="L77" s="46">
        <f t="shared" si="37"/>
        <v>1764</v>
      </c>
      <c r="O77" s="48">
        <f t="shared" si="22"/>
        <v>0</v>
      </c>
      <c r="P77" s="46">
        <f t="shared" si="23"/>
        <v>0</v>
      </c>
      <c r="Q77" s="48">
        <f t="shared" si="24"/>
        <v>0</v>
      </c>
      <c r="R77" s="46">
        <f t="shared" si="25"/>
        <v>0</v>
      </c>
      <c r="S77" s="48">
        <f t="shared" si="26"/>
        <v>0</v>
      </c>
      <c r="T77" s="46">
        <f t="shared" si="27"/>
        <v>1764</v>
      </c>
      <c r="U77" s="48">
        <f t="shared" si="28"/>
        <v>0</v>
      </c>
      <c r="V77" s="46">
        <f t="shared" si="29"/>
        <v>0</v>
      </c>
      <c r="W77" s="48">
        <f t="shared" si="30"/>
        <v>0</v>
      </c>
      <c r="X77" s="46">
        <f t="shared" si="31"/>
        <v>1764</v>
      </c>
      <c r="Y77" s="48">
        <f t="shared" si="32"/>
        <v>0</v>
      </c>
      <c r="Z77" s="46">
        <f t="shared" si="33"/>
        <v>1764</v>
      </c>
    </row>
    <row r="78" spans="1:26" ht="12.75">
      <c r="A78" s="799">
        <v>781700</v>
      </c>
      <c r="B78" s="23"/>
      <c r="C78" s="48">
        <v>0</v>
      </c>
      <c r="D78" s="46">
        <v>0</v>
      </c>
      <c r="E78" s="48">
        <v>0</v>
      </c>
      <c r="F78" s="46">
        <v>0</v>
      </c>
      <c r="G78" s="48">
        <v>0</v>
      </c>
      <c r="H78" s="46">
        <v>0</v>
      </c>
      <c r="I78" s="48">
        <f t="shared" si="34"/>
        <v>0</v>
      </c>
      <c r="J78" s="46">
        <f t="shared" si="35"/>
        <v>0</v>
      </c>
      <c r="K78" s="48">
        <f t="shared" si="36"/>
        <v>0</v>
      </c>
      <c r="L78" s="46">
        <f t="shared" si="37"/>
        <v>1764</v>
      </c>
      <c r="O78" s="48">
        <f t="shared" si="22"/>
        <v>0</v>
      </c>
      <c r="P78" s="46">
        <f t="shared" si="23"/>
        <v>0</v>
      </c>
      <c r="Q78" s="48">
        <f t="shared" si="24"/>
        <v>0</v>
      </c>
      <c r="R78" s="46">
        <f t="shared" si="25"/>
        <v>0</v>
      </c>
      <c r="S78" s="48">
        <f t="shared" si="26"/>
        <v>0</v>
      </c>
      <c r="T78" s="46">
        <f t="shared" si="27"/>
        <v>1764</v>
      </c>
      <c r="U78" s="48">
        <f t="shared" si="28"/>
        <v>0</v>
      </c>
      <c r="V78" s="46">
        <f t="shared" si="29"/>
        <v>0</v>
      </c>
      <c r="W78" s="48">
        <f t="shared" si="30"/>
        <v>0</v>
      </c>
      <c r="X78" s="46">
        <f t="shared" si="31"/>
        <v>1764</v>
      </c>
      <c r="Y78" s="48">
        <f t="shared" si="32"/>
        <v>0</v>
      </c>
      <c r="Z78" s="46">
        <f t="shared" si="33"/>
        <v>1764</v>
      </c>
    </row>
    <row r="79" spans="1:26" ht="12.75">
      <c r="A79" s="799">
        <v>781500</v>
      </c>
      <c r="B79" s="23"/>
      <c r="C79" s="48">
        <v>0</v>
      </c>
      <c r="D79" s="46">
        <v>0</v>
      </c>
      <c r="E79" s="48">
        <v>0</v>
      </c>
      <c r="F79" s="46">
        <v>0</v>
      </c>
      <c r="G79" s="48">
        <v>0</v>
      </c>
      <c r="H79" s="46">
        <v>0</v>
      </c>
      <c r="I79" s="48">
        <f t="shared" si="34"/>
        <v>0</v>
      </c>
      <c r="J79" s="46">
        <f t="shared" si="35"/>
        <v>0</v>
      </c>
      <c r="K79" s="48">
        <f t="shared" si="36"/>
        <v>0</v>
      </c>
      <c r="L79" s="46">
        <f t="shared" si="37"/>
        <v>1764</v>
      </c>
      <c r="O79" s="48">
        <f t="shared" si="22"/>
        <v>0</v>
      </c>
      <c r="P79" s="46">
        <f t="shared" si="23"/>
        <v>0</v>
      </c>
      <c r="Q79" s="48">
        <f t="shared" si="24"/>
        <v>0</v>
      </c>
      <c r="R79" s="46">
        <f t="shared" si="25"/>
        <v>0</v>
      </c>
      <c r="S79" s="48">
        <f t="shared" si="26"/>
        <v>0</v>
      </c>
      <c r="T79" s="46">
        <f t="shared" si="27"/>
        <v>1764</v>
      </c>
      <c r="U79" s="48">
        <f t="shared" si="28"/>
        <v>0</v>
      </c>
      <c r="V79" s="46">
        <f t="shared" si="29"/>
        <v>0</v>
      </c>
      <c r="W79" s="48">
        <f t="shared" si="30"/>
        <v>0</v>
      </c>
      <c r="X79" s="46">
        <f t="shared" si="31"/>
        <v>1764</v>
      </c>
      <c r="Y79" s="48">
        <f t="shared" si="32"/>
        <v>0</v>
      </c>
      <c r="Z79" s="46">
        <f t="shared" si="33"/>
        <v>1764</v>
      </c>
    </row>
    <row r="80" spans="1:26" ht="12.75">
      <c r="A80" s="800"/>
      <c r="B80" s="23"/>
      <c r="C80" s="48">
        <v>0</v>
      </c>
      <c r="D80" s="46">
        <v>0</v>
      </c>
      <c r="E80" s="48">
        <v>0</v>
      </c>
      <c r="F80" s="46">
        <v>0</v>
      </c>
      <c r="G80" s="48">
        <v>0</v>
      </c>
      <c r="H80" s="46">
        <v>0</v>
      </c>
      <c r="I80" s="48">
        <f t="shared" si="34"/>
        <v>0</v>
      </c>
      <c r="J80" s="46">
        <f t="shared" si="35"/>
        <v>0</v>
      </c>
      <c r="K80" s="48">
        <f t="shared" si="36"/>
        <v>0</v>
      </c>
      <c r="L80" s="46">
        <f t="shared" si="37"/>
        <v>1764</v>
      </c>
      <c r="O80" s="48">
        <f t="shared" si="22"/>
        <v>0</v>
      </c>
      <c r="P80" s="46">
        <f t="shared" si="23"/>
        <v>0</v>
      </c>
      <c r="Q80" s="48">
        <f t="shared" si="24"/>
        <v>0</v>
      </c>
      <c r="R80" s="46">
        <f t="shared" si="25"/>
        <v>0</v>
      </c>
      <c r="S80" s="48">
        <f t="shared" si="26"/>
        <v>0</v>
      </c>
      <c r="T80" s="46">
        <f t="shared" si="27"/>
        <v>1764</v>
      </c>
      <c r="U80" s="48">
        <f t="shared" si="28"/>
        <v>0</v>
      </c>
      <c r="V80" s="46">
        <f t="shared" si="29"/>
        <v>0</v>
      </c>
      <c r="W80" s="48">
        <f t="shared" si="30"/>
        <v>0</v>
      </c>
      <c r="X80" s="46">
        <f t="shared" si="31"/>
        <v>1764</v>
      </c>
      <c r="Y80" s="48">
        <f t="shared" si="32"/>
        <v>0</v>
      </c>
      <c r="Z80" s="46">
        <f t="shared" si="33"/>
        <v>1764</v>
      </c>
    </row>
    <row r="81" spans="1:26" ht="12.75">
      <c r="A81" s="1488" t="s">
        <v>679</v>
      </c>
      <c r="B81" s="1489"/>
      <c r="C81" s="401">
        <f>SUM(C71:C80)</f>
        <v>0</v>
      </c>
      <c r="D81" s="797">
        <f aca="true" t="shared" si="38" ref="D81:L81">SUM(D71:D80)</f>
        <v>0</v>
      </c>
      <c r="E81" s="401">
        <f t="shared" si="38"/>
        <v>0</v>
      </c>
      <c r="F81" s="797">
        <f t="shared" si="38"/>
        <v>0</v>
      </c>
      <c r="G81" s="401">
        <f t="shared" si="38"/>
        <v>0</v>
      </c>
      <c r="H81" s="797">
        <f t="shared" si="38"/>
        <v>0</v>
      </c>
      <c r="I81" s="401">
        <f t="shared" si="38"/>
        <v>0</v>
      </c>
      <c r="J81" s="797">
        <f t="shared" si="38"/>
        <v>0</v>
      </c>
      <c r="K81" s="401">
        <f t="shared" si="38"/>
        <v>0</v>
      </c>
      <c r="L81" s="797">
        <f t="shared" si="38"/>
        <v>17640</v>
      </c>
      <c r="O81" s="48">
        <f t="shared" si="22"/>
        <v>0</v>
      </c>
      <c r="P81" s="46">
        <f t="shared" si="23"/>
        <v>0</v>
      </c>
      <c r="Q81" s="48">
        <f t="shared" si="24"/>
        <v>0</v>
      </c>
      <c r="R81" s="46">
        <f t="shared" si="25"/>
        <v>0</v>
      </c>
      <c r="S81" s="48">
        <f t="shared" si="26"/>
        <v>0</v>
      </c>
      <c r="T81" s="46">
        <f t="shared" si="27"/>
        <v>1764</v>
      </c>
      <c r="U81" s="48">
        <f t="shared" si="28"/>
        <v>0</v>
      </c>
      <c r="V81" s="46">
        <f t="shared" si="29"/>
        <v>0</v>
      </c>
      <c r="W81" s="48">
        <f t="shared" si="30"/>
        <v>0</v>
      </c>
      <c r="X81" s="46">
        <f t="shared" si="31"/>
        <v>1764</v>
      </c>
      <c r="Y81" s="48">
        <f t="shared" si="32"/>
        <v>0</v>
      </c>
      <c r="Z81" s="46">
        <f t="shared" si="33"/>
        <v>1764</v>
      </c>
    </row>
  </sheetData>
  <sheetProtection/>
  <mergeCells count="18">
    <mergeCell ref="K1:L1"/>
    <mergeCell ref="Q1:R1"/>
    <mergeCell ref="A81:B81"/>
    <mergeCell ref="A28:B28"/>
    <mergeCell ref="A41:B41"/>
    <mergeCell ref="A46:B46"/>
    <mergeCell ref="A70:B70"/>
    <mergeCell ref="C1:D1"/>
    <mergeCell ref="Y1:Z1"/>
    <mergeCell ref="E1:F1"/>
    <mergeCell ref="A21:B21"/>
    <mergeCell ref="A11:B11"/>
    <mergeCell ref="O1:P1"/>
    <mergeCell ref="S1:T1"/>
    <mergeCell ref="U1:V1"/>
    <mergeCell ref="W1:X1"/>
    <mergeCell ref="G1:H1"/>
    <mergeCell ref="I1:J1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"/>
  <dimension ref="A1:D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28125" style="38" customWidth="1"/>
    <col min="2" max="3" width="11.7109375" style="38" bestFit="1" customWidth="1"/>
    <col min="4" max="4" width="13.140625" style="38" customWidth="1"/>
    <col min="5" max="16384" width="11.421875" style="38" customWidth="1"/>
  </cols>
  <sheetData>
    <row r="1" spans="2:4" ht="12.75">
      <c r="B1" s="38" t="s">
        <v>312</v>
      </c>
      <c r="C1" s="38" t="s">
        <v>313</v>
      </c>
      <c r="D1" s="38" t="s">
        <v>314</v>
      </c>
    </row>
    <row r="2" spans="1:4" ht="12.75">
      <c r="A2" s="38" t="s">
        <v>1064</v>
      </c>
      <c r="B2" s="38">
        <v>41150</v>
      </c>
      <c r="C2" s="38">
        <v>24250</v>
      </c>
      <c r="D2" s="38">
        <f>(B2+C2)/2</f>
        <v>32700</v>
      </c>
    </row>
    <row r="3" spans="1:4" ht="12.75">
      <c r="A3" s="38" t="s">
        <v>728</v>
      </c>
      <c r="B3" s="38">
        <v>1087840</v>
      </c>
      <c r="C3" s="38">
        <v>1043200</v>
      </c>
      <c r="D3" s="38">
        <f>(B3+C3)/2</f>
        <v>1065520</v>
      </c>
    </row>
    <row r="4" spans="2:4" ht="12.75">
      <c r="B4" s="38">
        <f>SUM(B2:B3)</f>
        <v>1128990</v>
      </c>
      <c r="C4" s="38">
        <f>SUM(C2:C3)</f>
        <v>1067450</v>
      </c>
      <c r="D4" s="38">
        <f>SUM(D2:D3)</f>
        <v>1098220</v>
      </c>
    </row>
    <row r="6" spans="1:4" ht="12.75">
      <c r="A6" s="38" t="s">
        <v>698</v>
      </c>
      <c r="B6" s="38">
        <v>254040</v>
      </c>
      <c r="C6" s="38">
        <v>396180</v>
      </c>
      <c r="D6" s="38">
        <f>(B6+C6)/2</f>
        <v>325110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3"/>
  <dimension ref="A1:V75"/>
  <sheetViews>
    <sheetView zoomScalePageLayoutView="0" workbookViewId="0" topLeftCell="A1">
      <selection activeCell="A65" sqref="A65:G65"/>
    </sheetView>
  </sheetViews>
  <sheetFormatPr defaultColWidth="11.421875" defaultRowHeight="12.75"/>
  <cols>
    <col min="1" max="1" width="15.8515625" style="6" customWidth="1"/>
    <col min="2" max="2" width="26.8515625" style="6" customWidth="1"/>
    <col min="3" max="3" width="6.57421875" style="6" customWidth="1"/>
    <col min="4" max="4" width="16.28125" style="53" customWidth="1"/>
    <col min="5" max="5" width="19.57421875" style="53" customWidth="1"/>
    <col min="6" max="6" width="19.00390625" style="53" customWidth="1"/>
    <col min="7" max="7" width="18.421875" style="13" customWidth="1"/>
    <col min="8" max="8" width="15.8515625" style="6" customWidth="1"/>
    <col min="9" max="9" width="26.8515625" style="6" customWidth="1"/>
    <col min="10" max="10" width="6.57421875" style="6" customWidth="1"/>
    <col min="11" max="11" width="16.28125" style="53" customWidth="1"/>
    <col min="12" max="12" width="19.57421875" style="53" customWidth="1"/>
    <col min="13" max="13" width="19.00390625" style="53" customWidth="1"/>
    <col min="14" max="14" width="18.421875" style="13" customWidth="1"/>
    <col min="15" max="16384" width="11.421875" style="13" customWidth="1"/>
  </cols>
  <sheetData>
    <row r="1" spans="1:22" ht="12.75">
      <c r="A1" s="11" t="s">
        <v>1155</v>
      </c>
      <c r="B1" s="1527"/>
      <c r="C1" s="1527"/>
      <c r="D1" s="1527"/>
      <c r="E1" s="396" t="s">
        <v>804</v>
      </c>
      <c r="F1" s="1208" t="s">
        <v>805</v>
      </c>
      <c r="H1" s="11" t="s">
        <v>1155</v>
      </c>
      <c r="I1" s="1527"/>
      <c r="J1" s="1527"/>
      <c r="K1" s="1527"/>
      <c r="L1" s="546" t="s">
        <v>9</v>
      </c>
      <c r="M1" s="543"/>
      <c r="O1" s="1486" t="s">
        <v>493</v>
      </c>
      <c r="P1" s="1528"/>
      <c r="Q1" s="1528"/>
      <c r="R1" s="1528"/>
      <c r="S1" s="1528"/>
      <c r="T1" s="1528"/>
      <c r="U1" s="1528"/>
      <c r="V1" s="1487"/>
    </row>
    <row r="2" spans="1:13" ht="12.75">
      <c r="A2" s="9" t="s">
        <v>1156</v>
      </c>
      <c r="B2" s="1527"/>
      <c r="C2" s="1527"/>
      <c r="D2" s="1527"/>
      <c r="E2" s="26"/>
      <c r="F2" s="544"/>
      <c r="H2" s="9" t="s">
        <v>1156</v>
      </c>
      <c r="I2" s="1527"/>
      <c r="J2" s="1527"/>
      <c r="K2" s="1527"/>
      <c r="L2" s="26"/>
      <c r="M2" s="544"/>
    </row>
    <row r="3" spans="1:13" ht="12.75">
      <c r="A3" s="10" t="s">
        <v>1157</v>
      </c>
      <c r="B3" s="1527"/>
      <c r="C3" s="1527"/>
      <c r="D3" s="1527"/>
      <c r="E3" s="547"/>
      <c r="F3" s="545"/>
      <c r="H3" s="10" t="s">
        <v>1157</v>
      </c>
      <c r="I3" s="1527"/>
      <c r="J3" s="1527"/>
      <c r="K3" s="1527"/>
      <c r="L3" s="547"/>
      <c r="M3" s="545"/>
    </row>
    <row r="4" spans="1:13" ht="65.25" customHeight="1">
      <c r="A4" s="18" t="s">
        <v>1139</v>
      </c>
      <c r="B4" s="1498" t="s">
        <v>1140</v>
      </c>
      <c r="C4" s="1499"/>
      <c r="D4" s="300" t="s">
        <v>1137</v>
      </c>
      <c r="E4" s="300" t="s">
        <v>1138</v>
      </c>
      <c r="F4" s="301" t="s">
        <v>1141</v>
      </c>
      <c r="H4" s="18" t="s">
        <v>1139</v>
      </c>
      <c r="I4" s="1498" t="s">
        <v>1140</v>
      </c>
      <c r="J4" s="1499"/>
      <c r="K4" s="300" t="s">
        <v>1137</v>
      </c>
      <c r="L4" s="300" t="s">
        <v>1138</v>
      </c>
      <c r="M4" s="301" t="s">
        <v>1141</v>
      </c>
    </row>
    <row r="5" spans="1:13" ht="12.75" customHeight="1">
      <c r="A5" s="1502" t="s">
        <v>1122</v>
      </c>
      <c r="B5" s="1503"/>
      <c r="C5" s="1503"/>
      <c r="D5" s="1503"/>
      <c r="E5" s="1503"/>
      <c r="F5" s="1504"/>
      <c r="H5" s="1502" t="s">
        <v>1122</v>
      </c>
      <c r="I5" s="1503"/>
      <c r="J5" s="1503"/>
      <c r="K5" s="1503"/>
      <c r="L5" s="1503"/>
      <c r="M5" s="1504"/>
    </row>
    <row r="6" spans="1:13" ht="12.75" customHeight="1">
      <c r="A6" s="1505" t="s">
        <v>1120</v>
      </c>
      <c r="B6" s="1518"/>
      <c r="C6" s="27" t="s">
        <v>1142</v>
      </c>
      <c r="D6" s="67"/>
      <c r="E6" s="67"/>
      <c r="F6" s="67">
        <v>18000</v>
      </c>
      <c r="H6" s="1505" t="s">
        <v>1120</v>
      </c>
      <c r="I6" s="1518"/>
      <c r="J6" s="27" t="s">
        <v>1142</v>
      </c>
      <c r="K6" s="67"/>
      <c r="L6" s="67"/>
      <c r="M6" s="67">
        <v>18000</v>
      </c>
    </row>
    <row r="7" spans="1:13" ht="12.75">
      <c r="A7" s="1490" t="s">
        <v>1121</v>
      </c>
      <c r="B7" s="1491"/>
      <c r="C7" s="20" t="s">
        <v>1143</v>
      </c>
      <c r="D7" s="67">
        <v>10000</v>
      </c>
      <c r="E7" s="67"/>
      <c r="F7" s="67"/>
      <c r="H7" s="1490" t="s">
        <v>1121</v>
      </c>
      <c r="I7" s="1491"/>
      <c r="J7" s="20" t="s">
        <v>1143</v>
      </c>
      <c r="K7" s="67">
        <v>10000</v>
      </c>
      <c r="L7" s="67"/>
      <c r="M7" s="67"/>
    </row>
    <row r="8" spans="1:13" ht="12.75" customHeight="1">
      <c r="A8" s="1502" t="s">
        <v>1123</v>
      </c>
      <c r="B8" s="1503"/>
      <c r="C8" s="1503"/>
      <c r="D8" s="1503"/>
      <c r="E8" s="1503"/>
      <c r="F8" s="1504"/>
      <c r="H8" s="1502" t="s">
        <v>1123</v>
      </c>
      <c r="I8" s="1503"/>
      <c r="J8" s="1503"/>
      <c r="K8" s="1503"/>
      <c r="L8" s="1503"/>
      <c r="M8" s="1504"/>
    </row>
    <row r="9" spans="1:13" ht="12.75">
      <c r="A9" s="1505" t="s">
        <v>1045</v>
      </c>
      <c r="B9" s="1506"/>
      <c r="C9" s="21"/>
      <c r="D9" s="67">
        <v>65000</v>
      </c>
      <c r="E9" s="67"/>
      <c r="F9" s="67"/>
      <c r="H9" s="1505" t="s">
        <v>1045</v>
      </c>
      <c r="I9" s="1506"/>
      <c r="J9" s="21"/>
      <c r="K9" s="67"/>
      <c r="L9" s="67"/>
      <c r="M9" s="67"/>
    </row>
    <row r="10" spans="1:13" ht="12.75">
      <c r="A10" s="1496" t="s">
        <v>1118</v>
      </c>
      <c r="B10" s="1507" t="s">
        <v>1124</v>
      </c>
      <c r="C10" s="1517"/>
      <c r="D10" s="67">
        <v>522000</v>
      </c>
      <c r="E10" s="67"/>
      <c r="F10" s="67">
        <v>166000</v>
      </c>
      <c r="H10" s="1496" t="s">
        <v>1118</v>
      </c>
      <c r="I10" s="1507" t="s">
        <v>1124</v>
      </c>
      <c r="J10" s="1517"/>
      <c r="K10" s="67"/>
      <c r="L10" s="67"/>
      <c r="M10" s="67">
        <v>166000</v>
      </c>
    </row>
    <row r="11" spans="1:13" ht="12.75">
      <c r="A11" s="1496"/>
      <c r="B11" s="1507" t="s">
        <v>1125</v>
      </c>
      <c r="C11" s="1517"/>
      <c r="D11" s="67"/>
      <c r="E11" s="67"/>
      <c r="F11" s="67"/>
      <c r="H11" s="1496"/>
      <c r="I11" s="1507" t="s">
        <v>1125</v>
      </c>
      <c r="J11" s="1517"/>
      <c r="K11" s="67"/>
      <c r="L11" s="67"/>
      <c r="M11" s="67"/>
    </row>
    <row r="12" spans="1:13" ht="28.5" customHeight="1">
      <c r="A12" s="1498"/>
      <c r="B12" s="1507" t="s">
        <v>1126</v>
      </c>
      <c r="C12" s="1517"/>
      <c r="D12" s="67"/>
      <c r="E12" s="67"/>
      <c r="F12" s="67"/>
      <c r="H12" s="1498"/>
      <c r="I12" s="1507" t="s">
        <v>1126</v>
      </c>
      <c r="J12" s="1517"/>
      <c r="K12" s="67"/>
      <c r="L12" s="67"/>
      <c r="M12" s="67"/>
    </row>
    <row r="13" spans="1:13" ht="12.75">
      <c r="A13" s="1507" t="s">
        <v>1127</v>
      </c>
      <c r="B13" s="1491"/>
      <c r="C13" s="1491"/>
      <c r="D13" s="67">
        <v>439640</v>
      </c>
      <c r="E13" s="67"/>
      <c r="F13" s="67">
        <v>56940</v>
      </c>
      <c r="H13" s="1507" t="s">
        <v>1127</v>
      </c>
      <c r="I13" s="1491"/>
      <c r="J13" s="1491"/>
      <c r="K13" s="67"/>
      <c r="L13" s="67"/>
      <c r="M13" s="67">
        <v>56940</v>
      </c>
    </row>
    <row r="14" spans="1:13" ht="25.5" customHeight="1">
      <c r="A14" s="1496" t="s">
        <v>1119</v>
      </c>
      <c r="B14" s="1507" t="s">
        <v>1128</v>
      </c>
      <c r="C14" s="1508"/>
      <c r="D14" s="67"/>
      <c r="E14" s="67"/>
      <c r="F14" s="67"/>
      <c r="H14" s="1496" t="s">
        <v>1119</v>
      </c>
      <c r="I14" s="1507" t="s">
        <v>1128</v>
      </c>
      <c r="J14" s="1508"/>
      <c r="K14" s="67"/>
      <c r="L14" s="67"/>
      <c r="M14" s="67"/>
    </row>
    <row r="15" spans="1:13" ht="12.75">
      <c r="A15" s="1496"/>
      <c r="B15" s="1507" t="s">
        <v>1129</v>
      </c>
      <c r="C15" s="1517"/>
      <c r="D15" s="67">
        <v>73020</v>
      </c>
      <c r="E15" s="67"/>
      <c r="F15" s="67">
        <v>34180</v>
      </c>
      <c r="H15" s="1496"/>
      <c r="I15" s="1507" t="s">
        <v>1129</v>
      </c>
      <c r="J15" s="1517"/>
      <c r="K15" s="67"/>
      <c r="L15" s="67"/>
      <c r="M15" s="67">
        <v>34180</v>
      </c>
    </row>
    <row r="16" spans="1:13" ht="15" customHeight="1">
      <c r="A16" s="1496"/>
      <c r="B16" s="1507" t="s">
        <v>1130</v>
      </c>
      <c r="C16" s="1517"/>
      <c r="D16" s="67">
        <v>178460</v>
      </c>
      <c r="E16" s="67"/>
      <c r="F16" s="67">
        <v>14300</v>
      </c>
      <c r="H16" s="1496"/>
      <c r="I16" s="1507" t="s">
        <v>1130</v>
      </c>
      <c r="J16" s="1517"/>
      <c r="K16" s="67"/>
      <c r="L16" s="67"/>
      <c r="M16" s="67">
        <v>14300</v>
      </c>
    </row>
    <row r="17" spans="1:13" ht="25.5" customHeight="1">
      <c r="A17" s="1498"/>
      <c r="B17" s="1521" t="s">
        <v>1131</v>
      </c>
      <c r="C17" s="1522"/>
      <c r="D17" s="67"/>
      <c r="E17" s="67"/>
      <c r="F17" s="67"/>
      <c r="H17" s="1498"/>
      <c r="I17" s="1521" t="s">
        <v>1131</v>
      </c>
      <c r="J17" s="1522"/>
      <c r="K17" s="67"/>
      <c r="L17" s="67"/>
      <c r="M17" s="67"/>
    </row>
    <row r="18" spans="1:13" ht="12.75">
      <c r="A18" s="1490" t="s">
        <v>1132</v>
      </c>
      <c r="B18" s="1491"/>
      <c r="C18" s="1491"/>
      <c r="D18" s="67">
        <v>8000</v>
      </c>
      <c r="E18" s="67"/>
      <c r="F18" s="67"/>
      <c r="H18" s="1490" t="s">
        <v>1132</v>
      </c>
      <c r="I18" s="1491"/>
      <c r="J18" s="1491"/>
      <c r="K18" s="67"/>
      <c r="L18" s="67"/>
      <c r="M18" s="67"/>
    </row>
    <row r="19" spans="1:13" ht="12.75">
      <c r="A19" s="1509" t="s">
        <v>1050</v>
      </c>
      <c r="B19" s="1506"/>
      <c r="C19" s="1506"/>
      <c r="D19" s="67"/>
      <c r="E19" s="67"/>
      <c r="F19" s="67"/>
      <c r="H19" s="1509" t="s">
        <v>1050</v>
      </c>
      <c r="I19" s="1506"/>
      <c r="J19" s="1506"/>
      <c r="K19" s="67"/>
      <c r="L19" s="67"/>
      <c r="M19" s="67"/>
    </row>
    <row r="20" spans="1:14" ht="12.75">
      <c r="A20" s="1492" t="s">
        <v>1075</v>
      </c>
      <c r="B20" s="1493"/>
      <c r="C20" s="1493"/>
      <c r="D20" s="302">
        <f>SUM(D9:D19)</f>
        <v>1286120</v>
      </c>
      <c r="E20" s="302">
        <f>SUM(E9:E19)+SUM(E6:E7)</f>
        <v>0</v>
      </c>
      <c r="F20" s="302">
        <f>SUM(F9:F19)</f>
        <v>271420</v>
      </c>
      <c r="G20" s="53"/>
      <c r="H20" s="1492" t="s">
        <v>1075</v>
      </c>
      <c r="I20" s="1493"/>
      <c r="J20" s="1493"/>
      <c r="K20" s="302">
        <f>SUM(K9:K19)</f>
        <v>0</v>
      </c>
      <c r="L20" s="302">
        <f>SUM(L9:L19)+SUM(L6:L7)</f>
        <v>0</v>
      </c>
      <c r="M20" s="302">
        <f>SUM(M9:M19)</f>
        <v>271420</v>
      </c>
      <c r="N20" s="53"/>
    </row>
    <row r="21" spans="1:13" ht="12.75" customHeight="1">
      <c r="A21" s="1502" t="s">
        <v>1051</v>
      </c>
      <c r="B21" s="1503"/>
      <c r="C21" s="1503"/>
      <c r="D21" s="1503"/>
      <c r="E21" s="1503"/>
      <c r="F21" s="1504"/>
      <c r="H21" s="1502" t="s">
        <v>1051</v>
      </c>
      <c r="I21" s="1503"/>
      <c r="J21" s="1503"/>
      <c r="K21" s="1503"/>
      <c r="L21" s="1503"/>
      <c r="M21" s="1504"/>
    </row>
    <row r="22" spans="1:13" ht="12.75">
      <c r="A22" s="1509" t="s">
        <v>1133</v>
      </c>
      <c r="B22" s="1506"/>
      <c r="C22" s="1506"/>
      <c r="D22" s="67"/>
      <c r="E22" s="67"/>
      <c r="F22" s="67"/>
      <c r="H22" s="1509" t="s">
        <v>1133</v>
      </c>
      <c r="I22" s="1506"/>
      <c r="J22" s="1506"/>
      <c r="K22" s="67"/>
      <c r="L22" s="67"/>
      <c r="M22" s="67"/>
    </row>
    <row r="23" spans="1:13" ht="12.75">
      <c r="A23" s="1490" t="s">
        <v>1134</v>
      </c>
      <c r="B23" s="1491"/>
      <c r="C23" s="1491"/>
      <c r="D23" s="67">
        <v>75000</v>
      </c>
      <c r="E23" s="67"/>
      <c r="F23" s="67"/>
      <c r="H23" s="1490" t="s">
        <v>1134</v>
      </c>
      <c r="I23" s="1491"/>
      <c r="J23" s="1491"/>
      <c r="K23" s="67"/>
      <c r="L23" s="67"/>
      <c r="M23" s="67"/>
    </row>
    <row r="24" spans="1:13" ht="12.75">
      <c r="A24" s="1490" t="s">
        <v>1054</v>
      </c>
      <c r="B24" s="1491"/>
      <c r="C24" s="1491"/>
      <c r="D24" s="67">
        <v>58000</v>
      </c>
      <c r="E24" s="67"/>
      <c r="F24" s="67"/>
      <c r="H24" s="1490" t="s">
        <v>1054</v>
      </c>
      <c r="I24" s="1491"/>
      <c r="J24" s="1491"/>
      <c r="K24" s="67"/>
      <c r="L24" s="67"/>
      <c r="M24" s="67"/>
    </row>
    <row r="25" spans="1:13" ht="12.75">
      <c r="A25" s="1490" t="s">
        <v>1135</v>
      </c>
      <c r="B25" s="1491"/>
      <c r="C25" s="1491"/>
      <c r="D25" s="67">
        <v>35000</v>
      </c>
      <c r="E25" s="67"/>
      <c r="F25" s="67"/>
      <c r="H25" s="1490" t="s">
        <v>1135</v>
      </c>
      <c r="I25" s="1491"/>
      <c r="J25" s="1491"/>
      <c r="K25" s="67"/>
      <c r="L25" s="67"/>
      <c r="M25" s="67"/>
    </row>
    <row r="26" spans="1:13" ht="12.75">
      <c r="A26" s="1492" t="s">
        <v>1136</v>
      </c>
      <c r="B26" s="1493"/>
      <c r="C26" s="1493"/>
      <c r="D26" s="302">
        <f>SUM(D22:D25)</f>
        <v>168000</v>
      </c>
      <c r="E26" s="302"/>
      <c r="F26" s="302"/>
      <c r="H26" s="1492" t="s">
        <v>1136</v>
      </c>
      <c r="I26" s="1493"/>
      <c r="J26" s="1493"/>
      <c r="K26" s="302">
        <f>SUM(K22:K25)</f>
        <v>0</v>
      </c>
      <c r="L26" s="302"/>
      <c r="M26" s="302"/>
    </row>
    <row r="27" spans="1:13" ht="12.75">
      <c r="A27" s="9"/>
      <c r="B27" s="26"/>
      <c r="C27" s="26"/>
      <c r="D27" s="67"/>
      <c r="E27" s="67"/>
      <c r="F27" s="67"/>
      <c r="H27" s="9"/>
      <c r="I27" s="26"/>
      <c r="J27" s="26"/>
      <c r="K27" s="67"/>
      <c r="L27" s="67"/>
      <c r="M27" s="67"/>
    </row>
    <row r="28" spans="1:14" ht="12.75">
      <c r="A28" s="1515" t="s">
        <v>1144</v>
      </c>
      <c r="B28" s="1516"/>
      <c r="C28" s="1516"/>
      <c r="D28" s="302">
        <f>D26+D20+D7+D6</f>
        <v>1464120</v>
      </c>
      <c r="E28" s="302">
        <f>E26+E20+E7+E6</f>
        <v>0</v>
      </c>
      <c r="F28" s="302">
        <f>F26+F20+F7+F6</f>
        <v>289420</v>
      </c>
      <c r="G28" s="53"/>
      <c r="H28" s="1515" t="s">
        <v>1144</v>
      </c>
      <c r="I28" s="1516"/>
      <c r="J28" s="1516"/>
      <c r="K28" s="302">
        <f>K26+K20+K7+K6</f>
        <v>10000</v>
      </c>
      <c r="L28" s="302">
        <f>L26+L20+L7+L6</f>
        <v>0</v>
      </c>
      <c r="M28" s="302">
        <f>M26+M20+M7+M6</f>
        <v>289420</v>
      </c>
      <c r="N28" s="53"/>
    </row>
    <row r="29" spans="1:14" s="17" customFormat="1" ht="12.75">
      <c r="A29" s="297"/>
      <c r="B29" s="297"/>
      <c r="C29" s="297"/>
      <c r="D29" s="303"/>
      <c r="E29" s="303"/>
      <c r="F29" s="303"/>
      <c r="G29" s="25"/>
      <c r="H29" s="297"/>
      <c r="I29" s="297"/>
      <c r="J29" s="297"/>
      <c r="K29" s="303"/>
      <c r="L29" s="303"/>
      <c r="M29" s="303"/>
      <c r="N29" s="25"/>
    </row>
    <row r="30" spans="1:14" s="17" customFormat="1" ht="12.75">
      <c r="A30" s="11" t="s">
        <v>1155</v>
      </c>
      <c r="B30" s="1525"/>
      <c r="C30" s="1525"/>
      <c r="D30" s="1525"/>
      <c r="E30" s="1525"/>
      <c r="F30" s="1525"/>
      <c r="G30" s="1526"/>
      <c r="H30" s="11" t="s">
        <v>1155</v>
      </c>
      <c r="I30" s="1525"/>
      <c r="J30" s="1525"/>
      <c r="K30" s="1525"/>
      <c r="L30" s="1525"/>
      <c r="M30" s="1525"/>
      <c r="N30" s="1526"/>
    </row>
    <row r="31" spans="1:14" s="17" customFormat="1" ht="12.75">
      <c r="A31" s="9" t="s">
        <v>1156</v>
      </c>
      <c r="B31" s="1523"/>
      <c r="C31" s="1523"/>
      <c r="D31" s="1523"/>
      <c r="E31" s="1523"/>
      <c r="F31" s="1523"/>
      <c r="G31" s="1524"/>
      <c r="H31" s="9" t="s">
        <v>1156</v>
      </c>
      <c r="I31" s="1523"/>
      <c r="J31" s="1523"/>
      <c r="K31" s="1523"/>
      <c r="L31" s="1523"/>
      <c r="M31" s="1523"/>
      <c r="N31" s="1524"/>
    </row>
    <row r="32" spans="1:14" s="17" customFormat="1" ht="12.75">
      <c r="A32" s="10" t="s">
        <v>1157</v>
      </c>
      <c r="B32" s="1519"/>
      <c r="C32" s="1519"/>
      <c r="D32" s="1519"/>
      <c r="E32" s="1519"/>
      <c r="F32" s="1519"/>
      <c r="G32" s="1520"/>
      <c r="H32" s="10" t="s">
        <v>1157</v>
      </c>
      <c r="I32" s="1519"/>
      <c r="J32" s="1519"/>
      <c r="K32" s="1519"/>
      <c r="L32" s="1519"/>
      <c r="M32" s="1519"/>
      <c r="N32" s="1520"/>
    </row>
    <row r="33" spans="1:14" ht="12.75">
      <c r="A33" s="1500" t="s">
        <v>1145</v>
      </c>
      <c r="B33" s="1496" t="s">
        <v>1140</v>
      </c>
      <c r="C33" s="1497"/>
      <c r="D33" s="1494" t="s">
        <v>1150</v>
      </c>
      <c r="E33" s="1495"/>
      <c r="F33" s="1510"/>
      <c r="G33" s="1511"/>
      <c r="H33" s="1500" t="s">
        <v>1145</v>
      </c>
      <c r="I33" s="1496" t="s">
        <v>1140</v>
      </c>
      <c r="J33" s="1497"/>
      <c r="K33" s="1494" t="s">
        <v>1150</v>
      </c>
      <c r="L33" s="1495"/>
      <c r="M33" s="1510"/>
      <c r="N33" s="1511"/>
    </row>
    <row r="34" spans="1:14" ht="51" customHeight="1">
      <c r="A34" s="1500"/>
      <c r="B34" s="1496"/>
      <c r="C34" s="1497"/>
      <c r="D34" s="1512" t="s">
        <v>1137</v>
      </c>
      <c r="E34" s="1512" t="s">
        <v>1146</v>
      </c>
      <c r="F34" s="1512" t="s">
        <v>1149</v>
      </c>
      <c r="G34" s="12" t="s">
        <v>1147</v>
      </c>
      <c r="H34" s="1500"/>
      <c r="I34" s="1496"/>
      <c r="J34" s="1497"/>
      <c r="K34" s="1512" t="s">
        <v>1137</v>
      </c>
      <c r="L34" s="1512" t="s">
        <v>1146</v>
      </c>
      <c r="M34" s="1512" t="s">
        <v>1149</v>
      </c>
      <c r="N34" s="12" t="s">
        <v>1147</v>
      </c>
    </row>
    <row r="35" spans="1:14" ht="38.25">
      <c r="A35" s="1501"/>
      <c r="B35" s="1498"/>
      <c r="C35" s="1499"/>
      <c r="D35" s="1514"/>
      <c r="E35" s="1514"/>
      <c r="F35" s="1513"/>
      <c r="G35" s="19" t="s">
        <v>1148</v>
      </c>
      <c r="H35" s="1501"/>
      <c r="I35" s="1498"/>
      <c r="J35" s="1499"/>
      <c r="K35" s="1514"/>
      <c r="L35" s="1514"/>
      <c r="M35" s="1513"/>
      <c r="N35" s="19" t="s">
        <v>1148</v>
      </c>
    </row>
    <row r="36" spans="1:14" ht="12.75" customHeight="1">
      <c r="A36" s="1502" t="s">
        <v>1122</v>
      </c>
      <c r="B36" s="1503"/>
      <c r="C36" s="1503"/>
      <c r="D36" s="1503"/>
      <c r="E36" s="1503"/>
      <c r="F36" s="1503"/>
      <c r="G36" s="1504"/>
      <c r="H36" s="1502" t="s">
        <v>1122</v>
      </c>
      <c r="I36" s="1503"/>
      <c r="J36" s="1503"/>
      <c r="K36" s="1503"/>
      <c r="L36" s="1503"/>
      <c r="M36" s="1503"/>
      <c r="N36" s="1504"/>
    </row>
    <row r="37" spans="1:14" ht="12.75" customHeight="1">
      <c r="A37" s="1505" t="s">
        <v>1120</v>
      </c>
      <c r="B37" s="1518"/>
      <c r="C37" s="27" t="s">
        <v>1142</v>
      </c>
      <c r="D37" s="67"/>
      <c r="E37" s="67"/>
      <c r="F37" s="67">
        <v>18000</v>
      </c>
      <c r="G37" s="23"/>
      <c r="H37" s="1505" t="s">
        <v>1120</v>
      </c>
      <c r="I37" s="1518"/>
      <c r="J37" s="27" t="s">
        <v>1142</v>
      </c>
      <c r="K37" s="67"/>
      <c r="L37" s="67"/>
      <c r="M37" s="67">
        <v>18000</v>
      </c>
      <c r="N37" s="23"/>
    </row>
    <row r="38" spans="1:14" ht="12.75">
      <c r="A38" s="1490" t="s">
        <v>1121</v>
      </c>
      <c r="B38" s="1491"/>
      <c r="C38" s="20" t="s">
        <v>1143</v>
      </c>
      <c r="D38" s="67"/>
      <c r="E38" s="67"/>
      <c r="F38" s="67">
        <v>10000</v>
      </c>
      <c r="G38" s="23"/>
      <c r="H38" s="1490" t="s">
        <v>1121</v>
      </c>
      <c r="I38" s="1491"/>
      <c r="J38" s="20" t="s">
        <v>1143</v>
      </c>
      <c r="K38" s="67"/>
      <c r="L38" s="67"/>
      <c r="M38" s="67">
        <v>10000</v>
      </c>
      <c r="N38" s="23"/>
    </row>
    <row r="39" spans="1:14" ht="12.75" customHeight="1">
      <c r="A39" s="1502" t="s">
        <v>1123</v>
      </c>
      <c r="B39" s="1503"/>
      <c r="C39" s="1503"/>
      <c r="D39" s="1503"/>
      <c r="E39" s="1503"/>
      <c r="F39" s="1503"/>
      <c r="G39" s="1504"/>
      <c r="H39" s="1502" t="s">
        <v>1123</v>
      </c>
      <c r="I39" s="1503"/>
      <c r="J39" s="1503"/>
      <c r="K39" s="1503"/>
      <c r="L39" s="1503"/>
      <c r="M39" s="1503"/>
      <c r="N39" s="1504"/>
    </row>
    <row r="40" spans="1:14" ht="12.75">
      <c r="A40" s="1505" t="s">
        <v>1045</v>
      </c>
      <c r="B40" s="1506"/>
      <c r="C40" s="21"/>
      <c r="D40" s="67"/>
      <c r="E40" s="67">
        <v>15000</v>
      </c>
      <c r="F40" s="67">
        <v>50000</v>
      </c>
      <c r="G40" s="23"/>
      <c r="H40" s="1505" t="s">
        <v>1045</v>
      </c>
      <c r="I40" s="1506"/>
      <c r="J40" s="21"/>
      <c r="K40" s="67"/>
      <c r="L40" s="67">
        <v>15000</v>
      </c>
      <c r="M40" s="67">
        <v>50000</v>
      </c>
      <c r="N40" s="23"/>
    </row>
    <row r="41" spans="1:14" ht="12.75">
      <c r="A41" s="1496" t="s">
        <v>1118</v>
      </c>
      <c r="B41" s="15" t="s">
        <v>1124</v>
      </c>
      <c r="C41" s="16"/>
      <c r="D41" s="67"/>
      <c r="E41" s="67">
        <v>100000</v>
      </c>
      <c r="F41" s="67">
        <v>588000</v>
      </c>
      <c r="G41" s="23"/>
      <c r="H41" s="1496" t="s">
        <v>1118</v>
      </c>
      <c r="I41" s="15" t="s">
        <v>1124</v>
      </c>
      <c r="J41" s="16"/>
      <c r="K41" s="67"/>
      <c r="L41" s="67">
        <v>100000</v>
      </c>
      <c r="M41" s="67">
        <v>588000</v>
      </c>
      <c r="N41" s="23"/>
    </row>
    <row r="42" spans="1:14" ht="12.75">
      <c r="A42" s="1496"/>
      <c r="B42" s="15" t="s">
        <v>1125</v>
      </c>
      <c r="C42" s="16"/>
      <c r="D42" s="67"/>
      <c r="E42" s="67"/>
      <c r="F42" s="67"/>
      <c r="G42" s="23"/>
      <c r="H42" s="1496"/>
      <c r="I42" s="15" t="s">
        <v>1125</v>
      </c>
      <c r="J42" s="16"/>
      <c r="K42" s="67"/>
      <c r="L42" s="67"/>
      <c r="M42" s="67"/>
      <c r="N42" s="23"/>
    </row>
    <row r="43" spans="1:14" ht="25.5" customHeight="1">
      <c r="A43" s="1498"/>
      <c r="B43" s="1507" t="s">
        <v>1126</v>
      </c>
      <c r="C43" s="1517"/>
      <c r="D43" s="67"/>
      <c r="E43" s="67"/>
      <c r="F43" s="67"/>
      <c r="G43" s="23"/>
      <c r="H43" s="1498"/>
      <c r="I43" s="1507" t="s">
        <v>1126</v>
      </c>
      <c r="J43" s="1517"/>
      <c r="K43" s="67"/>
      <c r="L43" s="67"/>
      <c r="M43" s="67"/>
      <c r="N43" s="23"/>
    </row>
    <row r="44" spans="1:14" ht="12.75">
      <c r="A44" s="1507" t="s">
        <v>1127</v>
      </c>
      <c r="B44" s="1491"/>
      <c r="C44" s="1491"/>
      <c r="D44" s="67"/>
      <c r="E44" s="67">
        <v>18000</v>
      </c>
      <c r="F44" s="67">
        <v>478580</v>
      </c>
      <c r="G44" s="23"/>
      <c r="H44" s="1507" t="s">
        <v>1127</v>
      </c>
      <c r="I44" s="1491"/>
      <c r="J44" s="1491"/>
      <c r="K44" s="67"/>
      <c r="L44" s="67">
        <v>18000</v>
      </c>
      <c r="M44" s="67">
        <v>478580</v>
      </c>
      <c r="N44" s="23"/>
    </row>
    <row r="45" spans="1:14" ht="12.75">
      <c r="A45" s="1496" t="s">
        <v>1119</v>
      </c>
      <c r="B45" s="1507" t="s">
        <v>1128</v>
      </c>
      <c r="C45" s="1508"/>
      <c r="D45" s="67"/>
      <c r="E45" s="67"/>
      <c r="F45" s="67"/>
      <c r="G45" s="23"/>
      <c r="H45" s="1496" t="s">
        <v>1119</v>
      </c>
      <c r="I45" s="1507" t="s">
        <v>1128</v>
      </c>
      <c r="J45" s="1508"/>
      <c r="K45" s="67"/>
      <c r="L45" s="67"/>
      <c r="M45" s="67"/>
      <c r="N45" s="23"/>
    </row>
    <row r="46" spans="1:14" ht="12.75">
      <c r="A46" s="1496"/>
      <c r="B46" s="15" t="s">
        <v>1129</v>
      </c>
      <c r="C46" s="16"/>
      <c r="D46" s="67"/>
      <c r="E46" s="67">
        <v>12000</v>
      </c>
      <c r="F46" s="67">
        <v>95200</v>
      </c>
      <c r="G46" s="23"/>
      <c r="H46" s="1496"/>
      <c r="I46" s="15" t="s">
        <v>1129</v>
      </c>
      <c r="J46" s="16"/>
      <c r="K46" s="67"/>
      <c r="L46" s="67">
        <v>12000</v>
      </c>
      <c r="M46" s="67">
        <v>95200</v>
      </c>
      <c r="N46" s="23"/>
    </row>
    <row r="47" spans="1:14" ht="15" customHeight="1">
      <c r="A47" s="1496"/>
      <c r="B47" s="1507" t="s">
        <v>1130</v>
      </c>
      <c r="C47" s="1517"/>
      <c r="D47" s="67"/>
      <c r="E47" s="67"/>
      <c r="F47" s="67">
        <v>178460</v>
      </c>
      <c r="G47" s="23"/>
      <c r="H47" s="1496"/>
      <c r="I47" s="1507" t="s">
        <v>1130</v>
      </c>
      <c r="J47" s="1517"/>
      <c r="K47" s="67"/>
      <c r="L47" s="67"/>
      <c r="M47" s="67">
        <v>178460</v>
      </c>
      <c r="N47" s="23"/>
    </row>
    <row r="48" spans="1:14" ht="14.25" customHeight="1">
      <c r="A48" s="1498"/>
      <c r="B48" s="1507" t="s">
        <v>1131</v>
      </c>
      <c r="C48" s="1517"/>
      <c r="D48" s="67"/>
      <c r="E48" s="67"/>
      <c r="F48" s="67"/>
      <c r="G48" s="23"/>
      <c r="H48" s="1498"/>
      <c r="I48" s="1507" t="s">
        <v>1131</v>
      </c>
      <c r="J48" s="1517"/>
      <c r="K48" s="67"/>
      <c r="L48" s="67"/>
      <c r="M48" s="67"/>
      <c r="N48" s="23"/>
    </row>
    <row r="49" spans="1:14" ht="12.75">
      <c r="A49" s="1490" t="s">
        <v>1132</v>
      </c>
      <c r="B49" s="1491"/>
      <c r="C49" s="1491"/>
      <c r="D49" s="67"/>
      <c r="E49" s="67"/>
      <c r="F49" s="67">
        <v>22300</v>
      </c>
      <c r="G49" s="23"/>
      <c r="H49" s="1490" t="s">
        <v>1132</v>
      </c>
      <c r="I49" s="1491"/>
      <c r="J49" s="1491"/>
      <c r="K49" s="67"/>
      <c r="L49" s="67"/>
      <c r="M49" s="67">
        <v>22300</v>
      </c>
      <c r="N49" s="23"/>
    </row>
    <row r="50" spans="1:14" ht="12.75">
      <c r="A50" s="1509" t="s">
        <v>1050</v>
      </c>
      <c r="B50" s="1506"/>
      <c r="C50" s="1506"/>
      <c r="D50" s="67"/>
      <c r="E50" s="67"/>
      <c r="F50" s="67"/>
      <c r="G50" s="23"/>
      <c r="H50" s="1509" t="s">
        <v>1050</v>
      </c>
      <c r="I50" s="1506"/>
      <c r="J50" s="1506"/>
      <c r="K50" s="67"/>
      <c r="L50" s="67"/>
      <c r="M50" s="67"/>
      <c r="N50" s="23"/>
    </row>
    <row r="51" spans="1:14" ht="12.75">
      <c r="A51" s="1492" t="s">
        <v>1075</v>
      </c>
      <c r="B51" s="1493"/>
      <c r="C51" s="1493"/>
      <c r="D51" s="302">
        <f>SUM(D40:D50)</f>
        <v>0</v>
      </c>
      <c r="E51" s="302">
        <f>SUM(E40:E50)</f>
        <v>145000</v>
      </c>
      <c r="F51" s="302">
        <f>SUM(F40:F50)</f>
        <v>1412540</v>
      </c>
      <c r="G51" s="302">
        <f>SUM(G40:G50)</f>
        <v>0</v>
      </c>
      <c r="H51" s="1492" t="s">
        <v>1075</v>
      </c>
      <c r="I51" s="1493"/>
      <c r="J51" s="1493"/>
      <c r="K51" s="302">
        <f>SUM(K40:K50)</f>
        <v>0</v>
      </c>
      <c r="L51" s="302">
        <f>SUM(L40:L50)</f>
        <v>145000</v>
      </c>
      <c r="M51" s="302">
        <f>SUM(M40:M50)</f>
        <v>1412540</v>
      </c>
      <c r="N51" s="302">
        <f>SUM(N40:N50)</f>
        <v>0</v>
      </c>
    </row>
    <row r="52" spans="1:14" ht="12.75" customHeight="1">
      <c r="A52" s="1502" t="s">
        <v>1051</v>
      </c>
      <c r="B52" s="1503"/>
      <c r="C52" s="1503"/>
      <c r="D52" s="1503"/>
      <c r="E52" s="1503"/>
      <c r="F52" s="1503"/>
      <c r="G52" s="1504"/>
      <c r="H52" s="1502" t="s">
        <v>1051</v>
      </c>
      <c r="I52" s="1503"/>
      <c r="J52" s="1503"/>
      <c r="K52" s="1503"/>
      <c r="L52" s="1503"/>
      <c r="M52" s="1503"/>
      <c r="N52" s="1504"/>
    </row>
    <row r="53" spans="1:14" ht="12.75">
      <c r="A53" s="1509" t="s">
        <v>1133</v>
      </c>
      <c r="B53" s="1506"/>
      <c r="C53" s="1506"/>
      <c r="D53" s="67"/>
      <c r="E53" s="67"/>
      <c r="F53" s="67"/>
      <c r="G53" s="23"/>
      <c r="H53" s="1509" t="s">
        <v>1133</v>
      </c>
      <c r="I53" s="1506"/>
      <c r="J53" s="1506"/>
      <c r="K53" s="67"/>
      <c r="L53" s="67"/>
      <c r="M53" s="67"/>
      <c r="N53" s="23"/>
    </row>
    <row r="54" spans="1:14" ht="12.75">
      <c r="A54" s="1490" t="s">
        <v>1134</v>
      </c>
      <c r="B54" s="1491"/>
      <c r="C54" s="1491"/>
      <c r="D54" s="67"/>
      <c r="E54" s="67"/>
      <c r="F54" s="67">
        <v>75000</v>
      </c>
      <c r="G54" s="23"/>
      <c r="H54" s="1490" t="s">
        <v>1134</v>
      </c>
      <c r="I54" s="1491"/>
      <c r="J54" s="1491"/>
      <c r="K54" s="67"/>
      <c r="L54" s="67"/>
      <c r="M54" s="67">
        <v>75000</v>
      </c>
      <c r="N54" s="23"/>
    </row>
    <row r="55" spans="1:14" ht="12.75">
      <c r="A55" s="1490" t="s">
        <v>1054</v>
      </c>
      <c r="B55" s="1491"/>
      <c r="C55" s="1491"/>
      <c r="D55" s="67"/>
      <c r="E55" s="67"/>
      <c r="F55" s="67">
        <v>58000</v>
      </c>
      <c r="G55" s="23"/>
      <c r="H55" s="1490" t="s">
        <v>1054</v>
      </c>
      <c r="I55" s="1491"/>
      <c r="J55" s="1491"/>
      <c r="K55" s="67"/>
      <c r="L55" s="67"/>
      <c r="M55" s="67">
        <v>58000</v>
      </c>
      <c r="N55" s="23"/>
    </row>
    <row r="56" spans="1:14" ht="12.75">
      <c r="A56" s="1490" t="s">
        <v>1135</v>
      </c>
      <c r="B56" s="1491"/>
      <c r="C56" s="1491"/>
      <c r="D56" s="67"/>
      <c r="E56" s="67">
        <v>5000</v>
      </c>
      <c r="F56" s="67">
        <v>30000</v>
      </c>
      <c r="G56" s="23"/>
      <c r="H56" s="1490" t="s">
        <v>1135</v>
      </c>
      <c r="I56" s="1491"/>
      <c r="J56" s="1491"/>
      <c r="K56" s="67"/>
      <c r="L56" s="67">
        <v>5000</v>
      </c>
      <c r="M56" s="67">
        <v>30000</v>
      </c>
      <c r="N56" s="23"/>
    </row>
    <row r="57" spans="1:14" ht="12.75">
      <c r="A57" s="1492" t="s">
        <v>1136</v>
      </c>
      <c r="B57" s="1493"/>
      <c r="C57" s="1493"/>
      <c r="D57" s="302">
        <f>SUM(D53:D56)</f>
        <v>0</v>
      </c>
      <c r="E57" s="302">
        <f>SUM(E53:E56)</f>
        <v>5000</v>
      </c>
      <c r="F57" s="302">
        <f>SUM(F53:F56)</f>
        <v>163000</v>
      </c>
      <c r="G57" s="302">
        <f>SUM(G53:G56)</f>
        <v>0</v>
      </c>
      <c r="H57" s="1492" t="s">
        <v>1136</v>
      </c>
      <c r="I57" s="1493"/>
      <c r="J57" s="1493"/>
      <c r="K57" s="302">
        <f>SUM(K53:K56)</f>
        <v>0</v>
      </c>
      <c r="L57" s="302">
        <f>SUM(L53:L56)</f>
        <v>5000</v>
      </c>
      <c r="M57" s="302">
        <f>SUM(M53:M56)</f>
        <v>163000</v>
      </c>
      <c r="N57" s="302">
        <f>SUM(N53:N56)</f>
        <v>0</v>
      </c>
    </row>
    <row r="58" spans="1:14" ht="12.75">
      <c r="A58" s="9"/>
      <c r="B58" s="26"/>
      <c r="C58" s="26"/>
      <c r="D58" s="67"/>
      <c r="E58" s="67"/>
      <c r="F58" s="67"/>
      <c r="G58" s="23"/>
      <c r="H58" s="9"/>
      <c r="I58" s="26"/>
      <c r="J58" s="26"/>
      <c r="K58" s="67"/>
      <c r="L58" s="67"/>
      <c r="M58" s="67"/>
      <c r="N58" s="23"/>
    </row>
    <row r="59" spans="1:14" ht="12.75">
      <c r="A59" s="1515" t="s">
        <v>1144</v>
      </c>
      <c r="B59" s="1516"/>
      <c r="C59" s="1516"/>
      <c r="D59" s="302">
        <f>D57+D51+D38+D37</f>
        <v>0</v>
      </c>
      <c r="E59" s="302">
        <f>E57+E51+E38+E37</f>
        <v>150000</v>
      </c>
      <c r="F59" s="302">
        <f>F57+F51+F38+F37</f>
        <v>1603540</v>
      </c>
      <c r="G59" s="302">
        <f>G57+G51+G38+G37</f>
        <v>0</v>
      </c>
      <c r="H59" s="1515" t="s">
        <v>1144</v>
      </c>
      <c r="I59" s="1516"/>
      <c r="J59" s="1516"/>
      <c r="K59" s="302">
        <f>K57+K51+K38+K37</f>
        <v>0</v>
      </c>
      <c r="L59" s="302">
        <f>L57+L51+L38+L37</f>
        <v>150000</v>
      </c>
      <c r="M59" s="302">
        <f>M57+M51+M38+M37</f>
        <v>1603540</v>
      </c>
      <c r="N59" s="302">
        <f>N57+N51+N38+N37</f>
        <v>0</v>
      </c>
    </row>
    <row r="61" spans="1:7" ht="12.75">
      <c r="A61" s="1529" t="s">
        <v>806</v>
      </c>
      <c r="B61" s="1530"/>
      <c r="C61" s="1530"/>
      <c r="D61" s="1530"/>
      <c r="E61" s="1530"/>
      <c r="F61" s="1530"/>
      <c r="G61" s="1531"/>
    </row>
    <row r="62" spans="1:7" ht="12.75">
      <c r="A62" s="9"/>
      <c r="B62" s="26"/>
      <c r="C62" s="26"/>
      <c r="D62" s="47"/>
      <c r="E62" s="47"/>
      <c r="F62" s="47"/>
      <c r="G62" s="23"/>
    </row>
    <row r="63" spans="1:7" ht="12.75">
      <c r="A63" s="1529" t="s">
        <v>409</v>
      </c>
      <c r="B63" s="1530"/>
      <c r="C63" s="1530"/>
      <c r="D63" s="1530"/>
      <c r="E63" s="1530"/>
      <c r="F63" s="1530"/>
      <c r="G63" s="1531"/>
    </row>
    <row r="64" spans="1:7" ht="12.75">
      <c r="A64" s="1209"/>
      <c r="B64" s="1210"/>
      <c r="C64" s="1210"/>
      <c r="D64" s="1210"/>
      <c r="E64" s="1210"/>
      <c r="F64" s="1210"/>
      <c r="G64" s="1211"/>
    </row>
    <row r="65" spans="1:7" ht="12.75">
      <c r="A65" s="1532" t="s">
        <v>808</v>
      </c>
      <c r="B65" s="1533"/>
      <c r="C65" s="1533"/>
      <c r="D65" s="1533"/>
      <c r="E65" s="1533"/>
      <c r="F65" s="1533"/>
      <c r="G65" s="1534"/>
    </row>
    <row r="66" spans="1:7" ht="12.75">
      <c r="A66" s="9"/>
      <c r="B66" s="26" t="s">
        <v>414</v>
      </c>
      <c r="C66" s="26"/>
      <c r="D66" s="47">
        <v>10000</v>
      </c>
      <c r="E66" s="47"/>
      <c r="F66" s="47"/>
      <c r="G66" s="23"/>
    </row>
    <row r="67" spans="1:7" ht="12.75">
      <c r="A67" s="9"/>
      <c r="B67" s="26" t="s">
        <v>300</v>
      </c>
      <c r="C67" s="26"/>
      <c r="D67" s="47"/>
      <c r="E67" s="47"/>
      <c r="F67" s="47"/>
      <c r="G67" s="23"/>
    </row>
    <row r="68" spans="1:7" ht="12.75">
      <c r="A68" s="9"/>
      <c r="B68" s="26" t="s">
        <v>401</v>
      </c>
      <c r="C68" s="26"/>
      <c r="D68" s="47">
        <v>50000</v>
      </c>
      <c r="E68" s="47"/>
      <c r="F68" s="47"/>
      <c r="G68" s="23"/>
    </row>
    <row r="69" spans="1:7" ht="12.75">
      <c r="A69" s="9"/>
      <c r="B69" s="26" t="s">
        <v>402</v>
      </c>
      <c r="C69" s="26"/>
      <c r="D69" s="47">
        <v>10000</v>
      </c>
      <c r="E69" s="47"/>
      <c r="F69" s="47"/>
      <c r="G69" s="23"/>
    </row>
    <row r="70" spans="1:7" ht="12.75">
      <c r="A70" s="9"/>
      <c r="B70" s="26" t="s">
        <v>403</v>
      </c>
      <c r="C70" s="26"/>
      <c r="D70" s="47">
        <v>5</v>
      </c>
      <c r="E70" s="47"/>
      <c r="F70" s="47"/>
      <c r="G70" s="23"/>
    </row>
    <row r="71" spans="1:7" ht="12.75">
      <c r="A71" s="9"/>
      <c r="B71" s="26"/>
      <c r="C71" s="26"/>
      <c r="D71" s="47"/>
      <c r="E71" s="47"/>
      <c r="F71" s="47"/>
      <c r="G71" s="23"/>
    </row>
    <row r="72" spans="1:7" ht="12" customHeight="1">
      <c r="A72" s="9"/>
      <c r="B72" s="1506" t="s">
        <v>408</v>
      </c>
      <c r="C72" s="1506"/>
      <c r="D72" s="47">
        <f>(D68-D69)/D70</f>
        <v>8000</v>
      </c>
      <c r="E72" s="47"/>
      <c r="F72" s="47"/>
      <c r="G72" s="23"/>
    </row>
    <row r="73" spans="1:7" ht="25.5" customHeight="1">
      <c r="A73" s="9"/>
      <c r="B73" s="1506" t="s">
        <v>807</v>
      </c>
      <c r="C73" s="1506"/>
      <c r="D73" s="47">
        <f>D66-D72</f>
        <v>2000</v>
      </c>
      <c r="E73" s="47"/>
      <c r="F73" s="47"/>
      <c r="G73" s="23"/>
    </row>
    <row r="74" spans="1:7" ht="12.75">
      <c r="A74" s="10"/>
      <c r="B74" s="547"/>
      <c r="C74" s="547"/>
      <c r="D74" s="365"/>
      <c r="E74" s="365"/>
      <c r="F74" s="365"/>
      <c r="G74" s="31"/>
    </row>
    <row r="75" spans="1:7" ht="12.75">
      <c r="A75" s="26"/>
      <c r="B75" s="26"/>
      <c r="C75" s="26"/>
      <c r="D75" s="47"/>
      <c r="E75" s="47"/>
      <c r="F75" s="47"/>
      <c r="G75" s="8"/>
    </row>
  </sheetData>
  <sheetProtection/>
  <mergeCells count="128">
    <mergeCell ref="B73:C73"/>
    <mergeCell ref="A65:G65"/>
    <mergeCell ref="A63:G63"/>
    <mergeCell ref="O1:V1"/>
    <mergeCell ref="B1:D1"/>
    <mergeCell ref="B2:D2"/>
    <mergeCell ref="B3:D3"/>
    <mergeCell ref="A61:G61"/>
    <mergeCell ref="B72:C72"/>
    <mergeCell ref="H50:J50"/>
    <mergeCell ref="H57:J57"/>
    <mergeCell ref="H51:J51"/>
    <mergeCell ref="H52:N52"/>
    <mergeCell ref="H45:H48"/>
    <mergeCell ref="I45:J45"/>
    <mergeCell ref="I47:J47"/>
    <mergeCell ref="I48:J48"/>
    <mergeCell ref="H44:J44"/>
    <mergeCell ref="H59:J59"/>
    <mergeCell ref="I1:K1"/>
    <mergeCell ref="I2:K2"/>
    <mergeCell ref="I3:K3"/>
    <mergeCell ref="H53:J53"/>
    <mergeCell ref="H54:J54"/>
    <mergeCell ref="H55:J55"/>
    <mergeCell ref="H56:J56"/>
    <mergeCell ref="H49:J49"/>
    <mergeCell ref="H36:N36"/>
    <mergeCell ref="H37:I37"/>
    <mergeCell ref="H38:I38"/>
    <mergeCell ref="H39:N39"/>
    <mergeCell ref="H40:I40"/>
    <mergeCell ref="H41:H43"/>
    <mergeCell ref="I43:J43"/>
    <mergeCell ref="I32:N32"/>
    <mergeCell ref="H33:H35"/>
    <mergeCell ref="I33:J35"/>
    <mergeCell ref="K33:L33"/>
    <mergeCell ref="M33:N33"/>
    <mergeCell ref="K34:K35"/>
    <mergeCell ref="L34:L35"/>
    <mergeCell ref="M34:M35"/>
    <mergeCell ref="H24:J24"/>
    <mergeCell ref="H25:J25"/>
    <mergeCell ref="H26:J26"/>
    <mergeCell ref="H28:J28"/>
    <mergeCell ref="I30:N30"/>
    <mergeCell ref="I31:N31"/>
    <mergeCell ref="H18:J18"/>
    <mergeCell ref="H19:J19"/>
    <mergeCell ref="H20:J20"/>
    <mergeCell ref="H21:M21"/>
    <mergeCell ref="H22:J22"/>
    <mergeCell ref="H23:J23"/>
    <mergeCell ref="I10:J10"/>
    <mergeCell ref="I11:J11"/>
    <mergeCell ref="I12:J12"/>
    <mergeCell ref="H13:J13"/>
    <mergeCell ref="H14:H17"/>
    <mergeCell ref="I14:J14"/>
    <mergeCell ref="I15:J15"/>
    <mergeCell ref="I16:J16"/>
    <mergeCell ref="I17:J17"/>
    <mergeCell ref="H7:I7"/>
    <mergeCell ref="H8:M8"/>
    <mergeCell ref="H9:I9"/>
    <mergeCell ref="B31:G31"/>
    <mergeCell ref="A21:F21"/>
    <mergeCell ref="A28:C28"/>
    <mergeCell ref="A26:C26"/>
    <mergeCell ref="B30:G30"/>
    <mergeCell ref="A22:C22"/>
    <mergeCell ref="H10:H12"/>
    <mergeCell ref="A23:C23"/>
    <mergeCell ref="A24:C24"/>
    <mergeCell ref="B15:C15"/>
    <mergeCell ref="A20:C20"/>
    <mergeCell ref="I4:J4"/>
    <mergeCell ref="B11:C11"/>
    <mergeCell ref="B12:C12"/>
    <mergeCell ref="A14:A17"/>
    <mergeCell ref="H5:M5"/>
    <mergeCell ref="H6:I6"/>
    <mergeCell ref="A36:G36"/>
    <mergeCell ref="B10:C10"/>
    <mergeCell ref="A25:C25"/>
    <mergeCell ref="A50:C50"/>
    <mergeCell ref="B32:G32"/>
    <mergeCell ref="B14:C14"/>
    <mergeCell ref="A19:C19"/>
    <mergeCell ref="A18:C18"/>
    <mergeCell ref="B16:C16"/>
    <mergeCell ref="B17:C17"/>
    <mergeCell ref="F33:G33"/>
    <mergeCell ref="F34:F35"/>
    <mergeCell ref="E34:E35"/>
    <mergeCell ref="D34:D35"/>
    <mergeCell ref="A44:C44"/>
    <mergeCell ref="A59:C59"/>
    <mergeCell ref="B48:C48"/>
    <mergeCell ref="A37:B37"/>
    <mergeCell ref="B47:C47"/>
    <mergeCell ref="B43:C43"/>
    <mergeCell ref="A45:A48"/>
    <mergeCell ref="B45:C45"/>
    <mergeCell ref="A54:C54"/>
    <mergeCell ref="A55:C55"/>
    <mergeCell ref="A51:C51"/>
    <mergeCell ref="A53:C53"/>
    <mergeCell ref="A52:G52"/>
    <mergeCell ref="B4:C4"/>
    <mergeCell ref="A13:C13"/>
    <mergeCell ref="A10:A12"/>
    <mergeCell ref="A9:B9"/>
    <mergeCell ref="A5:F5"/>
    <mergeCell ref="A7:B7"/>
    <mergeCell ref="A6:B6"/>
    <mergeCell ref="A8:F8"/>
    <mergeCell ref="A56:C56"/>
    <mergeCell ref="A57:C57"/>
    <mergeCell ref="D33:E33"/>
    <mergeCell ref="B33:C35"/>
    <mergeCell ref="A33:A35"/>
    <mergeCell ref="A39:G39"/>
    <mergeCell ref="A40:B40"/>
    <mergeCell ref="A38:B38"/>
    <mergeCell ref="A49:C49"/>
    <mergeCell ref="A41:A43"/>
  </mergeCells>
  <printOptions/>
  <pageMargins left="0.7874015748031497" right="0.7874015748031497" top="0.984251968503937" bottom="0.7874015748031497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4"/>
  <dimension ref="A1:J93"/>
  <sheetViews>
    <sheetView zoomScalePageLayoutView="0" workbookViewId="0" topLeftCell="A1">
      <selection activeCell="G1" sqref="G1:H1"/>
    </sheetView>
  </sheetViews>
  <sheetFormatPr defaultColWidth="11.421875" defaultRowHeight="12.75"/>
  <cols>
    <col min="1" max="1" width="4.00390625" style="53" customWidth="1"/>
    <col min="2" max="2" width="17.28125" style="53" customWidth="1"/>
    <col min="3" max="3" width="20.57421875" style="53" customWidth="1"/>
    <col min="4" max="4" width="11.421875" style="53" customWidth="1"/>
    <col min="5" max="5" width="18.421875" style="53" customWidth="1"/>
    <col min="6" max="6" width="16.00390625" style="53" customWidth="1"/>
    <col min="7" max="7" width="16.140625" style="53" customWidth="1"/>
    <col min="8" max="8" width="27.421875" style="53" customWidth="1"/>
    <col min="9" max="16384" width="11.421875" style="53" customWidth="1"/>
  </cols>
  <sheetData>
    <row r="1" spans="1:10" ht="13.5" customHeight="1">
      <c r="A1" s="1556" t="s">
        <v>1155</v>
      </c>
      <c r="B1" s="1557"/>
      <c r="C1" s="1558"/>
      <c r="D1" s="1558"/>
      <c r="E1" s="1207"/>
      <c r="F1" s="1207"/>
      <c r="G1" s="396" t="s">
        <v>802</v>
      </c>
      <c r="H1" s="1208" t="s">
        <v>803</v>
      </c>
      <c r="I1" s="366"/>
      <c r="J1" s="366"/>
    </row>
    <row r="2" spans="1:10" ht="12.75" customHeight="1">
      <c r="A2" s="1535" t="s">
        <v>1156</v>
      </c>
      <c r="B2" s="1536"/>
      <c r="C2" s="1559"/>
      <c r="D2" s="1559"/>
      <c r="E2" s="1649" t="s">
        <v>283</v>
      </c>
      <c r="F2" s="1649"/>
      <c r="G2" s="1645"/>
      <c r="H2" s="1646"/>
      <c r="I2" s="366"/>
      <c r="J2" s="366"/>
    </row>
    <row r="3" spans="1:10" ht="13.5" thickBot="1">
      <c r="A3" s="1560" t="s">
        <v>1157</v>
      </c>
      <c r="B3" s="1561"/>
      <c r="C3" s="1562"/>
      <c r="D3" s="1562"/>
      <c r="E3" s="414"/>
      <c r="F3" s="414"/>
      <c r="G3" s="1647"/>
      <c r="H3" s="1648"/>
      <c r="I3" s="366"/>
      <c r="J3" s="366"/>
    </row>
    <row r="4" spans="1:10" s="368" customFormat="1" ht="16.5" thickBot="1">
      <c r="A4" s="1639" t="s">
        <v>1139</v>
      </c>
      <c r="B4" s="1640"/>
      <c r="C4" s="1641" t="s">
        <v>1158</v>
      </c>
      <c r="D4" s="1642"/>
      <c r="E4" s="1643"/>
      <c r="F4" s="1643"/>
      <c r="G4" s="1643"/>
      <c r="H4" s="1644"/>
      <c r="I4" s="367"/>
      <c r="J4" s="367"/>
    </row>
    <row r="5" spans="1:10" ht="49.5" customHeight="1" thickBot="1">
      <c r="A5" s="1623" t="s">
        <v>1159</v>
      </c>
      <c r="B5" s="1624"/>
      <c r="C5" s="1624"/>
      <c r="D5" s="1625"/>
      <c r="E5" s="369" t="s">
        <v>1281</v>
      </c>
      <c r="F5" s="299" t="s">
        <v>1282</v>
      </c>
      <c r="G5" s="299" t="s">
        <v>1283</v>
      </c>
      <c r="H5" s="370" t="s">
        <v>1284</v>
      </c>
      <c r="I5" s="47"/>
      <c r="J5" s="47"/>
    </row>
    <row r="6" spans="1:8" ht="12.75">
      <c r="A6" s="1626" t="s">
        <v>1163</v>
      </c>
      <c r="B6" s="1627"/>
      <c r="C6" s="1627"/>
      <c r="D6" s="1628"/>
      <c r="E6" s="87"/>
      <c r="F6" s="87"/>
      <c r="G6" s="87"/>
      <c r="H6" s="371"/>
    </row>
    <row r="7" spans="1:8" ht="15" customHeight="1">
      <c r="A7" s="1535" t="s">
        <v>1160</v>
      </c>
      <c r="B7" s="1536"/>
      <c r="C7" s="1536"/>
      <c r="D7" s="1632"/>
      <c r="E7" s="323"/>
      <c r="F7" s="323">
        <v>4500</v>
      </c>
      <c r="G7" s="323"/>
      <c r="H7" s="324">
        <f>E7+F7-G7</f>
        <v>4500</v>
      </c>
    </row>
    <row r="8" spans="1:8" ht="12.75" customHeight="1">
      <c r="A8" s="1599" t="s">
        <v>1116</v>
      </c>
      <c r="B8" s="1600"/>
      <c r="C8" s="1600"/>
      <c r="D8" s="1636"/>
      <c r="E8" s="325"/>
      <c r="F8" s="325"/>
      <c r="G8" s="325"/>
      <c r="H8" s="324">
        <f>E8+F8-G8</f>
        <v>0</v>
      </c>
    </row>
    <row r="9" spans="1:8" ht="12.75" customHeight="1">
      <c r="A9" s="1633" t="s">
        <v>1123</v>
      </c>
      <c r="B9" s="1634"/>
      <c r="C9" s="1634"/>
      <c r="D9" s="1635"/>
      <c r="E9" s="337"/>
      <c r="F9" s="337"/>
      <c r="G9" s="337"/>
      <c r="H9" s="372"/>
    </row>
    <row r="10" spans="1:8" ht="12.75">
      <c r="A10" s="1535" t="s">
        <v>1117</v>
      </c>
      <c r="B10" s="1536"/>
      <c r="C10" s="1536"/>
      <c r="D10" s="1632"/>
      <c r="E10" s="323"/>
      <c r="F10" s="323"/>
      <c r="G10" s="323"/>
      <c r="H10" s="324"/>
    </row>
    <row r="11" spans="1:8" ht="12.75">
      <c r="A11" s="1661" t="s">
        <v>1046</v>
      </c>
      <c r="B11" s="1662"/>
      <c r="C11" s="1659" t="s">
        <v>1124</v>
      </c>
      <c r="D11" s="1619"/>
      <c r="E11" s="323">
        <v>142000</v>
      </c>
      <c r="F11" s="323">
        <v>22500</v>
      </c>
      <c r="G11" s="323">
        <v>17500</v>
      </c>
      <c r="H11" s="324">
        <f>E11+F11-G11</f>
        <v>147000</v>
      </c>
    </row>
    <row r="12" spans="1:8" ht="12.75">
      <c r="A12" s="1576"/>
      <c r="B12" s="1663"/>
      <c r="C12" s="1660" t="s">
        <v>1125</v>
      </c>
      <c r="D12" s="1636"/>
      <c r="E12" s="323"/>
      <c r="F12" s="323"/>
      <c r="G12" s="323"/>
      <c r="H12" s="324">
        <f aca="true" t="shared" si="0" ref="H12:H18">E12+F12-G12</f>
        <v>0</v>
      </c>
    </row>
    <row r="13" spans="1:8" ht="24.75" customHeight="1">
      <c r="A13" s="1664"/>
      <c r="B13" s="1552"/>
      <c r="C13" s="1657" t="s">
        <v>1161</v>
      </c>
      <c r="D13" s="1658"/>
      <c r="E13" s="323"/>
      <c r="F13" s="323"/>
      <c r="G13" s="323"/>
      <c r="H13" s="324">
        <f t="shared" si="0"/>
        <v>0</v>
      </c>
    </row>
    <row r="14" spans="1:8" ht="14.25" customHeight="1">
      <c r="A14" s="1629" t="s">
        <v>1162</v>
      </c>
      <c r="B14" s="1630"/>
      <c r="C14" s="1630"/>
      <c r="D14" s="1631"/>
      <c r="E14" s="323">
        <v>165040</v>
      </c>
      <c r="F14" s="323">
        <v>19210</v>
      </c>
      <c r="G14" s="323">
        <v>9750</v>
      </c>
      <c r="H14" s="324">
        <f t="shared" si="0"/>
        <v>174500</v>
      </c>
    </row>
    <row r="15" spans="1:8" ht="12.75" customHeight="1">
      <c r="A15" s="1651" t="s">
        <v>1119</v>
      </c>
      <c r="B15" s="1652"/>
      <c r="C15" s="1637" t="s">
        <v>1128</v>
      </c>
      <c r="D15" s="1638"/>
      <c r="E15" s="323"/>
      <c r="F15" s="323"/>
      <c r="G15" s="323"/>
      <c r="H15" s="324">
        <f t="shared" si="0"/>
        <v>0</v>
      </c>
    </row>
    <row r="16" spans="1:8" ht="12.75">
      <c r="A16" s="1653"/>
      <c r="B16" s="1654"/>
      <c r="C16" s="1650" t="s">
        <v>1129</v>
      </c>
      <c r="D16" s="1632"/>
      <c r="E16" s="323">
        <v>68190</v>
      </c>
      <c r="F16" s="323">
        <v>17220</v>
      </c>
      <c r="G16" s="323">
        <v>7100</v>
      </c>
      <c r="H16" s="324">
        <f t="shared" si="0"/>
        <v>78310</v>
      </c>
    </row>
    <row r="17" spans="1:8" ht="12.75">
      <c r="A17" s="1653"/>
      <c r="B17" s="1654"/>
      <c r="C17" s="1650" t="s">
        <v>1130</v>
      </c>
      <c r="D17" s="1632"/>
      <c r="E17" s="323">
        <v>58170</v>
      </c>
      <c r="F17" s="323">
        <v>14030</v>
      </c>
      <c r="G17" s="323"/>
      <c r="H17" s="324">
        <f t="shared" si="0"/>
        <v>72200</v>
      </c>
    </row>
    <row r="18" spans="1:8" ht="25.5">
      <c r="A18" s="1655"/>
      <c r="B18" s="1656"/>
      <c r="C18" s="374" t="s">
        <v>1131</v>
      </c>
      <c r="D18" s="375"/>
      <c r="E18" s="325"/>
      <c r="F18" s="325"/>
      <c r="G18" s="325"/>
      <c r="H18" s="324">
        <f t="shared" si="0"/>
        <v>0</v>
      </c>
    </row>
    <row r="19" spans="1:8" ht="12.75">
      <c r="A19" s="1617" t="s">
        <v>1280</v>
      </c>
      <c r="B19" s="1618"/>
      <c r="C19" s="1618"/>
      <c r="D19" s="1619"/>
      <c r="E19" s="327">
        <f>SUM(E10:E18)</f>
        <v>433400</v>
      </c>
      <c r="F19" s="327">
        <f>SUM(F10:F18)</f>
        <v>72960</v>
      </c>
      <c r="G19" s="327">
        <f>SUM(G10:G18)</f>
        <v>34350</v>
      </c>
      <c r="H19" s="328">
        <f>SUM(H10:H18)</f>
        <v>472010</v>
      </c>
    </row>
    <row r="20" spans="1:8" ht="13.5" thickBot="1">
      <c r="A20" s="1609" t="s">
        <v>1030</v>
      </c>
      <c r="B20" s="1610"/>
      <c r="C20" s="1610"/>
      <c r="D20" s="1620"/>
      <c r="E20" s="329">
        <f>E19+E8+E7</f>
        <v>433400</v>
      </c>
      <c r="F20" s="329">
        <f>F19+F8+F7</f>
        <v>77460</v>
      </c>
      <c r="G20" s="329">
        <f>G19+G8+G7</f>
        <v>34350</v>
      </c>
      <c r="H20" s="330">
        <f>H19+H8+H7</f>
        <v>476510</v>
      </c>
    </row>
    <row r="21" spans="1:8" ht="12.75">
      <c r="A21" s="353"/>
      <c r="B21" s="353"/>
      <c r="C21" s="353"/>
      <c r="D21" s="353"/>
      <c r="E21" s="47"/>
      <c r="F21" s="47"/>
      <c r="G21" s="47"/>
      <c r="H21" s="47"/>
    </row>
    <row r="22" spans="1:8" ht="12.75">
      <c r="A22" s="353"/>
      <c r="B22" s="353"/>
      <c r="C22" s="353"/>
      <c r="D22" s="353"/>
      <c r="E22" s="47"/>
      <c r="F22" s="47"/>
      <c r="G22" s="47"/>
      <c r="H22" s="47"/>
    </row>
    <row r="23" spans="1:8" ht="12.75">
      <c r="A23" s="353"/>
      <c r="B23" s="353"/>
      <c r="C23" s="353"/>
      <c r="D23" s="353"/>
      <c r="E23" s="47"/>
      <c r="F23" s="47"/>
      <c r="G23" s="47"/>
      <c r="H23" s="47"/>
    </row>
    <row r="24" spans="1:8" ht="12.75">
      <c r="A24" s="353"/>
      <c r="B24" s="353"/>
      <c r="C24" s="353"/>
      <c r="D24" s="353"/>
      <c r="E24" s="47"/>
      <c r="F24" s="47"/>
      <c r="G24" s="47"/>
      <c r="H24" s="47"/>
    </row>
    <row r="25" spans="1:8" ht="12.75">
      <c r="A25" s="353"/>
      <c r="B25" s="353"/>
      <c r="C25" s="353"/>
      <c r="D25" s="353"/>
      <c r="E25" s="47"/>
      <c r="F25" s="47"/>
      <c r="G25" s="47"/>
      <c r="H25" s="47"/>
    </row>
    <row r="26" spans="1:8" ht="12.75">
      <c r="A26" s="353"/>
      <c r="B26" s="353"/>
      <c r="C26" s="353"/>
      <c r="D26" s="353"/>
      <c r="E26" s="47"/>
      <c r="F26" s="47"/>
      <c r="G26" s="47"/>
      <c r="H26" s="47"/>
    </row>
    <row r="27" spans="1:8" ht="12.75">
      <c r="A27" s="353"/>
      <c r="B27" s="353"/>
      <c r="C27" s="353"/>
      <c r="D27" s="353"/>
      <c r="E27" s="47"/>
      <c r="F27" s="47"/>
      <c r="G27" s="47"/>
      <c r="H27" s="47"/>
    </row>
    <row r="28" spans="1:8" ht="12.75">
      <c r="A28" s="353"/>
      <c r="B28" s="353"/>
      <c r="C28" s="353"/>
      <c r="D28" s="353"/>
      <c r="E28" s="47"/>
      <c r="F28" s="47"/>
      <c r="G28" s="47"/>
      <c r="H28" s="47"/>
    </row>
    <row r="29" spans="1:8" ht="12.75">
      <c r="A29" s="353"/>
      <c r="B29" s="353"/>
      <c r="C29" s="353"/>
      <c r="D29" s="353"/>
      <c r="E29" s="47"/>
      <c r="F29" s="47"/>
      <c r="G29" s="47"/>
      <c r="H29" s="47"/>
    </row>
    <row r="30" spans="1:8" ht="13.5" thickBot="1">
      <c r="A30" s="353"/>
      <c r="B30" s="353"/>
      <c r="C30" s="353"/>
      <c r="D30" s="353"/>
      <c r="E30" s="47"/>
      <c r="F30" s="47"/>
      <c r="G30" s="47"/>
      <c r="H30" s="47"/>
    </row>
    <row r="31" spans="1:10" ht="13.5" customHeight="1">
      <c r="A31" s="1556" t="s">
        <v>1155</v>
      </c>
      <c r="B31" s="1557"/>
      <c r="C31" s="1558"/>
      <c r="D31" s="1558"/>
      <c r="E31" s="1557"/>
      <c r="F31" s="1557"/>
      <c r="G31" s="1583"/>
      <c r="H31" s="1584"/>
      <c r="I31" s="366"/>
      <c r="J31" s="366"/>
    </row>
    <row r="32" spans="1:10" ht="12.75" customHeight="1">
      <c r="A32" s="1535" t="s">
        <v>1156</v>
      </c>
      <c r="B32" s="1536"/>
      <c r="C32" s="1559"/>
      <c r="D32" s="1559"/>
      <c r="E32" s="1536"/>
      <c r="F32" s="1536"/>
      <c r="G32" s="1585"/>
      <c r="H32" s="1586"/>
      <c r="I32" s="366"/>
      <c r="J32" s="366"/>
    </row>
    <row r="33" spans="1:10" ht="13.5" thickBot="1">
      <c r="A33" s="1560" t="s">
        <v>1157</v>
      </c>
      <c r="B33" s="1561"/>
      <c r="C33" s="1562"/>
      <c r="D33" s="1562"/>
      <c r="E33" s="1579"/>
      <c r="F33" s="1579"/>
      <c r="G33" s="1580"/>
      <c r="H33" s="1581"/>
      <c r="I33" s="366"/>
      <c r="J33" s="366"/>
    </row>
    <row r="34" spans="1:10" s="368" customFormat="1" ht="16.5" thickBot="1">
      <c r="A34" s="1621" t="s">
        <v>1139</v>
      </c>
      <c r="B34" s="1622"/>
      <c r="C34" s="1563" t="s">
        <v>1158</v>
      </c>
      <c r="D34" s="1564"/>
      <c r="E34" s="1565"/>
      <c r="F34" s="1565"/>
      <c r="G34" s="1565"/>
      <c r="H34" s="1566"/>
      <c r="I34" s="367"/>
      <c r="J34" s="367"/>
    </row>
    <row r="35" spans="1:8" ht="26.25" thickBot="1">
      <c r="A35" s="1591" t="s">
        <v>1285</v>
      </c>
      <c r="B35" s="1592"/>
      <c r="C35" s="423" t="s">
        <v>1286</v>
      </c>
      <c r="D35" s="1593" t="s">
        <v>1287</v>
      </c>
      <c r="E35" s="1594"/>
      <c r="F35" s="429" t="s">
        <v>1306</v>
      </c>
      <c r="G35" s="429" t="s">
        <v>1307</v>
      </c>
      <c r="H35" s="430" t="s">
        <v>230</v>
      </c>
    </row>
    <row r="36" spans="1:8" ht="12.75">
      <c r="A36" s="1597" t="s">
        <v>290</v>
      </c>
      <c r="B36" s="1598"/>
      <c r="C36" s="427">
        <v>4500</v>
      </c>
      <c r="D36" s="1601"/>
      <c r="E36" s="1602"/>
      <c r="F36" s="427"/>
      <c r="G36" s="427"/>
      <c r="H36" s="424"/>
    </row>
    <row r="37" spans="1:8" ht="12.75">
      <c r="A37" s="1599" t="s">
        <v>291</v>
      </c>
      <c r="B37" s="1600"/>
      <c r="C37" s="373"/>
      <c r="D37" s="1576"/>
      <c r="E37" s="1577"/>
      <c r="F37" s="373"/>
      <c r="G37" s="373"/>
      <c r="H37" s="425"/>
    </row>
    <row r="38" spans="1:8" ht="13.5" thickBot="1">
      <c r="A38" s="1545" t="s">
        <v>292</v>
      </c>
      <c r="B38" s="1546"/>
      <c r="C38" s="428">
        <f>SUM(C36:C37)</f>
        <v>4500</v>
      </c>
      <c r="D38" s="1543">
        <f>SUM(D36:E37)</f>
        <v>0</v>
      </c>
      <c r="E38" s="1544"/>
      <c r="F38" s="428">
        <f>SUM(F36:F37)</f>
        <v>0</v>
      </c>
      <c r="G38" s="428">
        <f>SUM(G36:G37)</f>
        <v>0</v>
      </c>
      <c r="H38" s="426">
        <f>SUM(H36:H37)</f>
        <v>0</v>
      </c>
    </row>
    <row r="39" spans="1:8" ht="12.75" customHeight="1">
      <c r="A39" s="1595" t="s">
        <v>1117</v>
      </c>
      <c r="B39" s="1596"/>
      <c r="C39" s="316"/>
      <c r="D39" s="1551"/>
      <c r="E39" s="1552"/>
      <c r="F39" s="309"/>
      <c r="G39" s="309"/>
      <c r="H39" s="317"/>
    </row>
    <row r="40" spans="1:8" ht="16.5" customHeight="1">
      <c r="A40" s="1587" t="s">
        <v>1288</v>
      </c>
      <c r="B40" s="48" t="s">
        <v>1289</v>
      </c>
      <c r="C40" s="314">
        <v>22500</v>
      </c>
      <c r="D40" s="1578"/>
      <c r="E40" s="1578"/>
      <c r="F40" s="308"/>
      <c r="G40" s="308"/>
      <c r="H40" s="315"/>
    </row>
    <row r="41" spans="1:8" ht="15.75" customHeight="1">
      <c r="A41" s="1587"/>
      <c r="B41" s="48" t="s">
        <v>1290</v>
      </c>
      <c r="C41" s="316"/>
      <c r="D41" s="1575"/>
      <c r="E41" s="1575"/>
      <c r="F41" s="309"/>
      <c r="G41" s="309"/>
      <c r="H41" s="317"/>
    </row>
    <row r="42" spans="1:8" ht="30" customHeight="1">
      <c r="A42" s="1588"/>
      <c r="B42" s="374" t="s">
        <v>1291</v>
      </c>
      <c r="C42" s="318"/>
      <c r="D42" s="1555"/>
      <c r="E42" s="1555"/>
      <c r="F42" s="310"/>
      <c r="G42" s="310"/>
      <c r="H42" s="319"/>
    </row>
    <row r="43" spans="1:8" ht="27" customHeight="1">
      <c r="A43" s="1589" t="s">
        <v>1292</v>
      </c>
      <c r="B43" s="1590"/>
      <c r="C43" s="311">
        <v>4100</v>
      </c>
      <c r="D43" s="1582">
        <v>15110</v>
      </c>
      <c r="E43" s="1582"/>
      <c r="F43" s="311"/>
      <c r="G43" s="311"/>
      <c r="H43" s="431"/>
    </row>
    <row r="44" spans="1:8" ht="25.5">
      <c r="A44" s="1604" t="s">
        <v>1296</v>
      </c>
      <c r="B44" s="376" t="s">
        <v>1293</v>
      </c>
      <c r="C44" s="316"/>
      <c r="D44" s="1575"/>
      <c r="E44" s="1575"/>
      <c r="F44" s="309"/>
      <c r="G44" s="309"/>
      <c r="H44" s="317"/>
    </row>
    <row r="45" spans="1:8" ht="12.75">
      <c r="A45" s="1605"/>
      <c r="B45" s="377" t="s">
        <v>1129</v>
      </c>
      <c r="C45" s="316">
        <v>3280</v>
      </c>
      <c r="D45" s="1575">
        <v>13940</v>
      </c>
      <c r="E45" s="1575"/>
      <c r="F45" s="309"/>
      <c r="G45" s="309"/>
      <c r="H45" s="317"/>
    </row>
    <row r="46" spans="1:8" ht="12.75">
      <c r="A46" s="1605"/>
      <c r="B46" s="377" t="s">
        <v>1294</v>
      </c>
      <c r="C46" s="316">
        <v>1270</v>
      </c>
      <c r="D46" s="1575">
        <v>12760</v>
      </c>
      <c r="E46" s="1575"/>
      <c r="F46" s="309"/>
      <c r="G46" s="309"/>
      <c r="H46" s="317"/>
    </row>
    <row r="47" spans="1:8" ht="25.5">
      <c r="A47" s="1606"/>
      <c r="B47" s="374" t="s">
        <v>1295</v>
      </c>
      <c r="C47" s="318"/>
      <c r="D47" s="1575"/>
      <c r="E47" s="1575"/>
      <c r="F47" s="310"/>
      <c r="G47" s="310"/>
      <c r="H47" s="319"/>
    </row>
    <row r="48" spans="1:8" ht="13.5" thickBot="1">
      <c r="A48" s="1607" t="s">
        <v>1075</v>
      </c>
      <c r="B48" s="1608"/>
      <c r="C48" s="320">
        <f>SUM(C39:C47)</f>
        <v>31150</v>
      </c>
      <c r="D48" s="1553">
        <f>SUM(D39:E47)</f>
        <v>41810</v>
      </c>
      <c r="E48" s="1554"/>
      <c r="F48" s="321"/>
      <c r="G48" s="321"/>
      <c r="H48" s="322"/>
    </row>
    <row r="49" spans="1:8" ht="13.5" thickBot="1">
      <c r="A49" s="1609" t="s">
        <v>1297</v>
      </c>
      <c r="B49" s="1610"/>
      <c r="C49" s="312">
        <f>C48+C38</f>
        <v>35650</v>
      </c>
      <c r="D49" s="1569">
        <f>D48+D38</f>
        <v>41810</v>
      </c>
      <c r="E49" s="1570"/>
      <c r="F49" s="312">
        <f>F48+F37+F36</f>
        <v>0</v>
      </c>
      <c r="G49" s="312">
        <f>G48+G37+G36</f>
        <v>0</v>
      </c>
      <c r="H49" s="426">
        <f>H48+H37+H36</f>
        <v>0</v>
      </c>
    </row>
    <row r="50" spans="1:8" ht="13.5" thickBot="1">
      <c r="A50" s="1547" t="s">
        <v>275</v>
      </c>
      <c r="B50" s="1548"/>
      <c r="C50" s="389">
        <f>C49</f>
        <v>35650</v>
      </c>
      <c r="D50" s="1571">
        <f>D49+C50</f>
        <v>77460</v>
      </c>
      <c r="E50" s="1571"/>
      <c r="F50" s="382">
        <f>F49+D50</f>
        <v>77460</v>
      </c>
      <c r="G50" s="390">
        <f>G49+F50</f>
        <v>77460</v>
      </c>
      <c r="H50" s="391">
        <f>H49+G50</f>
        <v>77460</v>
      </c>
    </row>
    <row r="51" spans="1:8" ht="13.5" thickBot="1">
      <c r="A51" s="399"/>
      <c r="B51" s="414"/>
      <c r="C51" s="333"/>
      <c r="D51" s="333"/>
      <c r="E51" s="333"/>
      <c r="F51" s="378"/>
      <c r="G51" s="307"/>
      <c r="H51" s="313"/>
    </row>
    <row r="52" spans="1:8" ht="13.5" thickBot="1">
      <c r="A52" s="1611" t="s">
        <v>1298</v>
      </c>
      <c r="B52" s="1612"/>
      <c r="C52" s="333"/>
      <c r="D52" s="1544"/>
      <c r="E52" s="1544"/>
      <c r="F52" s="378"/>
      <c r="G52" s="307"/>
      <c r="H52" s="379"/>
    </row>
    <row r="53" spans="1:8" ht="36.75" customHeight="1">
      <c r="A53" s="1614" t="s">
        <v>1299</v>
      </c>
      <c r="B53" s="1615"/>
      <c r="C53" s="1615"/>
      <c r="D53" s="1616"/>
      <c r="E53" s="380" t="s">
        <v>1302</v>
      </c>
      <c r="F53" s="380" t="s">
        <v>1303</v>
      </c>
      <c r="G53" s="380" t="s">
        <v>1304</v>
      </c>
      <c r="H53" s="381" t="s">
        <v>1305</v>
      </c>
    </row>
    <row r="54" spans="1:8" ht="12.75">
      <c r="A54" s="1617" t="s">
        <v>1300</v>
      </c>
      <c r="B54" s="1618"/>
      <c r="C54" s="1618"/>
      <c r="D54" s="1619"/>
      <c r="E54" s="331">
        <v>12000</v>
      </c>
      <c r="F54" s="331">
        <v>9000</v>
      </c>
      <c r="G54" s="331">
        <v>4800</v>
      </c>
      <c r="H54" s="332">
        <v>16200</v>
      </c>
    </row>
    <row r="55" spans="1:8" ht="13.5" thickBot="1">
      <c r="A55" s="1609" t="s">
        <v>1301</v>
      </c>
      <c r="B55" s="1610"/>
      <c r="C55" s="1610"/>
      <c r="D55" s="1620"/>
      <c r="E55" s="333">
        <v>6600</v>
      </c>
      <c r="F55" s="333"/>
      <c r="G55" s="333">
        <v>800</v>
      </c>
      <c r="H55" s="334">
        <v>5800</v>
      </c>
    </row>
    <row r="56" spans="1:8" ht="13.5" thickBot="1">
      <c r="A56" s="387"/>
      <c r="B56" s="388"/>
      <c r="C56" s="388"/>
      <c r="D56" s="388"/>
      <c r="E56" s="392">
        <f>SUM(E54:E55)</f>
        <v>18600</v>
      </c>
      <c r="F56" s="392">
        <f>SUM(F54:F55)</f>
        <v>9000</v>
      </c>
      <c r="G56" s="392">
        <f>SUM(G54:G55)</f>
        <v>5600</v>
      </c>
      <c r="H56" s="392">
        <f>SUM(H54:H55)</f>
        <v>22000</v>
      </c>
    </row>
    <row r="58" ht="13.5" thickBot="1"/>
    <row r="59" spans="1:9" ht="12.75">
      <c r="A59" s="395"/>
      <c r="B59" s="396" t="s">
        <v>1155</v>
      </c>
      <c r="C59" s="396"/>
      <c r="D59" s="1613"/>
      <c r="E59" s="1613"/>
      <c r="F59" s="396" t="s">
        <v>281</v>
      </c>
      <c r="G59" s="396"/>
      <c r="H59" s="397"/>
      <c r="I59" s="366"/>
    </row>
    <row r="60" spans="1:9" ht="13.5" thickBot="1">
      <c r="A60" s="399"/>
      <c r="B60" s="414" t="s">
        <v>280</v>
      </c>
      <c r="C60" s="339"/>
      <c r="D60" s="1603"/>
      <c r="E60" s="1603"/>
      <c r="F60" s="339" t="s">
        <v>282</v>
      </c>
      <c r="G60" s="339"/>
      <c r="H60" s="400"/>
      <c r="I60" s="366"/>
    </row>
    <row r="61" spans="1:8" ht="12.75">
      <c r="A61" s="413"/>
      <c r="B61" s="1572" t="s">
        <v>1151</v>
      </c>
      <c r="C61" s="1572"/>
      <c r="D61" s="1572"/>
      <c r="E61" s="1572"/>
      <c r="F61" s="1572"/>
      <c r="G61" s="1572"/>
      <c r="H61" s="1573"/>
    </row>
    <row r="62" spans="1:8" ht="12.75">
      <c r="A62" s="404"/>
      <c r="B62" s="1574"/>
      <c r="C62" s="1574"/>
      <c r="D62" s="1574"/>
      <c r="E62" s="384" t="s">
        <v>1152</v>
      </c>
      <c r="F62" s="383" t="s">
        <v>1153</v>
      </c>
      <c r="G62" s="385" t="s">
        <v>1154</v>
      </c>
      <c r="H62" s="405"/>
    </row>
    <row r="63" spans="1:8" ht="12.75">
      <c r="A63" s="406" t="s">
        <v>1031</v>
      </c>
      <c r="B63" s="386"/>
      <c r="C63" s="50"/>
      <c r="D63" s="50"/>
      <c r="E63" s="364"/>
      <c r="F63" s="67"/>
      <c r="G63" s="46"/>
      <c r="H63" s="407">
        <f aca="true" t="shared" si="1" ref="H63:H92">SUM(E63:G63)</f>
        <v>0</v>
      </c>
    </row>
    <row r="64" spans="1:8" ht="12.75">
      <c r="A64" s="406" t="s">
        <v>277</v>
      </c>
      <c r="B64" s="50"/>
      <c r="C64" s="50"/>
      <c r="D64" s="50"/>
      <c r="E64" s="67"/>
      <c r="F64" s="67"/>
      <c r="G64" s="46"/>
      <c r="H64" s="407">
        <f t="shared" si="1"/>
        <v>0</v>
      </c>
    </row>
    <row r="65" spans="1:8" ht="12.75">
      <c r="A65" s="406" t="s">
        <v>1033</v>
      </c>
      <c r="B65" s="50"/>
      <c r="C65" s="50"/>
      <c r="D65" s="50"/>
      <c r="E65" s="67"/>
      <c r="F65" s="67"/>
      <c r="G65" s="46"/>
      <c r="H65" s="407">
        <f t="shared" si="1"/>
        <v>0</v>
      </c>
    </row>
    <row r="66" spans="1:8" ht="12.75">
      <c r="A66" s="406" t="s">
        <v>1035</v>
      </c>
      <c r="B66" s="50"/>
      <c r="C66" s="50"/>
      <c r="D66" s="50"/>
      <c r="E66" s="67"/>
      <c r="F66" s="67"/>
      <c r="G66" s="46"/>
      <c r="H66" s="407">
        <f t="shared" si="1"/>
        <v>0</v>
      </c>
    </row>
    <row r="67" spans="1:8" ht="12.75">
      <c r="A67" s="406" t="s">
        <v>1037</v>
      </c>
      <c r="B67" s="50"/>
      <c r="C67" s="50"/>
      <c r="D67" s="50"/>
      <c r="E67" s="67"/>
      <c r="F67" s="67"/>
      <c r="G67" s="46"/>
      <c r="H67" s="407">
        <f t="shared" si="1"/>
        <v>0</v>
      </c>
    </row>
    <row r="68" spans="1:8" ht="12.75">
      <c r="A68" s="406" t="s">
        <v>1038</v>
      </c>
      <c r="B68" s="50"/>
      <c r="C68" s="50"/>
      <c r="D68" s="50"/>
      <c r="E68" s="67"/>
      <c r="F68" s="67"/>
      <c r="G68" s="46"/>
      <c r="H68" s="407">
        <f t="shared" si="1"/>
        <v>0</v>
      </c>
    </row>
    <row r="69" spans="1:8" ht="12.75">
      <c r="A69" s="406" t="s">
        <v>1040</v>
      </c>
      <c r="B69" s="50"/>
      <c r="C69" s="50"/>
      <c r="D69" s="50"/>
      <c r="E69" s="67"/>
      <c r="F69" s="67"/>
      <c r="G69" s="46"/>
      <c r="H69" s="407">
        <f t="shared" si="1"/>
        <v>0</v>
      </c>
    </row>
    <row r="70" spans="1:8" ht="12.75">
      <c r="A70" s="406" t="s">
        <v>993</v>
      </c>
      <c r="B70" s="50"/>
      <c r="C70" s="50"/>
      <c r="D70" s="50"/>
      <c r="E70" s="67"/>
      <c r="F70" s="67"/>
      <c r="G70" s="46"/>
      <c r="H70" s="407">
        <f t="shared" si="1"/>
        <v>0</v>
      </c>
    </row>
    <row r="71" spans="1:8" ht="12.75">
      <c r="A71" s="1567" t="s">
        <v>1071</v>
      </c>
      <c r="B71" s="1568"/>
      <c r="C71" s="1568"/>
      <c r="D71" s="1568"/>
      <c r="E71" s="393"/>
      <c r="F71" s="393"/>
      <c r="G71" s="73"/>
      <c r="H71" s="408">
        <f t="shared" si="1"/>
        <v>0</v>
      </c>
    </row>
    <row r="72" spans="1:8" ht="12.75">
      <c r="A72" s="406" t="s">
        <v>1043</v>
      </c>
      <c r="B72" s="403"/>
      <c r="C72" s="403"/>
      <c r="D72" s="403"/>
      <c r="E72" s="67"/>
      <c r="F72" s="67"/>
      <c r="G72" s="46"/>
      <c r="H72" s="407">
        <f t="shared" si="1"/>
        <v>0</v>
      </c>
    </row>
    <row r="73" spans="1:8" ht="12.75">
      <c r="A73" s="406" t="s">
        <v>1045</v>
      </c>
      <c r="B73" s="50"/>
      <c r="C73" s="50"/>
      <c r="D73" s="50"/>
      <c r="E73" s="67"/>
      <c r="F73" s="67"/>
      <c r="G73" s="46"/>
      <c r="H73" s="407">
        <f t="shared" si="1"/>
        <v>0</v>
      </c>
    </row>
    <row r="74" spans="1:8" ht="12.75">
      <c r="A74" s="406" t="s">
        <v>279</v>
      </c>
      <c r="B74" s="50"/>
      <c r="C74" s="50"/>
      <c r="D74" s="50"/>
      <c r="E74" s="67"/>
      <c r="F74" s="67"/>
      <c r="G74" s="46"/>
      <c r="H74" s="407">
        <f t="shared" si="1"/>
        <v>0</v>
      </c>
    </row>
    <row r="75" spans="1:8" ht="12.75">
      <c r="A75" s="398" t="s">
        <v>1289</v>
      </c>
      <c r="B75" s="50"/>
      <c r="C75" s="50"/>
      <c r="D75" s="50"/>
      <c r="E75" s="67"/>
      <c r="F75" s="67"/>
      <c r="G75" s="46"/>
      <c r="H75" s="407">
        <f t="shared" si="1"/>
        <v>0</v>
      </c>
    </row>
    <row r="76" spans="1:8" ht="12.75">
      <c r="A76" s="398" t="s">
        <v>1290</v>
      </c>
      <c r="B76" s="50"/>
      <c r="C76" s="50"/>
      <c r="D76" s="50"/>
      <c r="E76" s="67"/>
      <c r="F76" s="67"/>
      <c r="G76" s="46"/>
      <c r="H76" s="407">
        <f t="shared" si="1"/>
        <v>0</v>
      </c>
    </row>
    <row r="77" spans="1:8" ht="12.75" customHeight="1">
      <c r="A77" s="1535" t="s">
        <v>1291</v>
      </c>
      <c r="B77" s="1536"/>
      <c r="C77" s="1536"/>
      <c r="D77" s="1537"/>
      <c r="E77" s="67"/>
      <c r="F77" s="67"/>
      <c r="G77" s="46"/>
      <c r="H77" s="407">
        <f t="shared" si="1"/>
        <v>0</v>
      </c>
    </row>
    <row r="78" spans="1:8" ht="12.75">
      <c r="A78" s="406" t="s">
        <v>1048</v>
      </c>
      <c r="B78" s="50"/>
      <c r="C78" s="50"/>
      <c r="D78" s="50"/>
      <c r="E78" s="67"/>
      <c r="F78" s="67"/>
      <c r="G78" s="46"/>
      <c r="H78" s="407">
        <f t="shared" si="1"/>
        <v>0</v>
      </c>
    </row>
    <row r="79" spans="1:8" ht="12.75">
      <c r="A79" s="406" t="s">
        <v>278</v>
      </c>
      <c r="B79" s="50"/>
      <c r="C79" s="50"/>
      <c r="D79" s="50"/>
      <c r="E79" s="67"/>
      <c r="F79" s="67"/>
      <c r="G79" s="46"/>
      <c r="H79" s="407">
        <f t="shared" si="1"/>
        <v>0</v>
      </c>
    </row>
    <row r="80" spans="1:8" ht="12.75" customHeight="1">
      <c r="A80" s="1535" t="s">
        <v>1293</v>
      </c>
      <c r="B80" s="1536"/>
      <c r="C80" s="1536"/>
      <c r="D80" s="1537"/>
      <c r="E80" s="67"/>
      <c r="F80" s="67"/>
      <c r="G80" s="46"/>
      <c r="H80" s="407">
        <f t="shared" si="1"/>
        <v>0</v>
      </c>
    </row>
    <row r="81" spans="1:8" ht="12.75">
      <c r="A81" s="1535" t="s">
        <v>1129</v>
      </c>
      <c r="B81" s="1536"/>
      <c r="C81" s="1536"/>
      <c r="D81" s="1537"/>
      <c r="E81" s="67"/>
      <c r="F81" s="67"/>
      <c r="G81" s="46"/>
      <c r="H81" s="407">
        <f t="shared" si="1"/>
        <v>0</v>
      </c>
    </row>
    <row r="82" spans="1:8" ht="12.75">
      <c r="A82" s="1535" t="s">
        <v>1294</v>
      </c>
      <c r="B82" s="1536"/>
      <c r="C82" s="1536"/>
      <c r="D82" s="1537"/>
      <c r="E82" s="67"/>
      <c r="F82" s="67"/>
      <c r="G82" s="46"/>
      <c r="H82" s="407">
        <f t="shared" si="1"/>
        <v>0</v>
      </c>
    </row>
    <row r="83" spans="1:8" ht="12.75">
      <c r="A83" s="1535" t="s">
        <v>1295</v>
      </c>
      <c r="B83" s="1536"/>
      <c r="C83" s="1536"/>
      <c r="D83" s="1537"/>
      <c r="E83" s="67"/>
      <c r="F83" s="67"/>
      <c r="G83" s="46"/>
      <c r="H83" s="407">
        <f t="shared" si="1"/>
        <v>0</v>
      </c>
    </row>
    <row r="84" spans="1:8" ht="12.75">
      <c r="A84" s="406" t="s">
        <v>1050</v>
      </c>
      <c r="B84" s="50"/>
      <c r="C84" s="50"/>
      <c r="D84" s="50"/>
      <c r="E84" s="67"/>
      <c r="F84" s="67"/>
      <c r="G84" s="46"/>
      <c r="H84" s="407">
        <f t="shared" si="1"/>
        <v>0</v>
      </c>
    </row>
    <row r="85" spans="1:8" ht="12.75">
      <c r="A85" s="1549" t="s">
        <v>1072</v>
      </c>
      <c r="B85" s="1550"/>
      <c r="C85" s="1550"/>
      <c r="D85" s="1550"/>
      <c r="E85" s="393"/>
      <c r="F85" s="393"/>
      <c r="G85" s="73"/>
      <c r="H85" s="408">
        <f t="shared" si="1"/>
        <v>0</v>
      </c>
    </row>
    <row r="86" spans="1:8" ht="12.75">
      <c r="A86" s="406" t="s">
        <v>1051</v>
      </c>
      <c r="B86" s="403"/>
      <c r="C86" s="403"/>
      <c r="D86" s="403"/>
      <c r="E86" s="67"/>
      <c r="F86" s="67"/>
      <c r="G86" s="46"/>
      <c r="H86" s="407">
        <f t="shared" si="1"/>
        <v>0</v>
      </c>
    </row>
    <row r="87" spans="1:8" ht="12.75">
      <c r="A87" s="406" t="s">
        <v>215</v>
      </c>
      <c r="B87" s="50"/>
      <c r="C87" s="50"/>
      <c r="D87" s="50"/>
      <c r="E87" s="67"/>
      <c r="F87" s="67"/>
      <c r="G87" s="46"/>
      <c r="H87" s="407">
        <f t="shared" si="1"/>
        <v>0</v>
      </c>
    </row>
    <row r="88" spans="1:8" ht="12.75">
      <c r="A88" s="406" t="s">
        <v>1052</v>
      </c>
      <c r="B88" s="50"/>
      <c r="C88" s="50"/>
      <c r="D88" s="50"/>
      <c r="E88" s="67"/>
      <c r="F88" s="67"/>
      <c r="G88" s="46"/>
      <c r="H88" s="407">
        <f t="shared" si="1"/>
        <v>0</v>
      </c>
    </row>
    <row r="89" spans="1:8" ht="12.75" customHeight="1">
      <c r="A89" s="406" t="s">
        <v>1054</v>
      </c>
      <c r="B89" s="50"/>
      <c r="C89" s="50"/>
      <c r="D89" s="50"/>
      <c r="E89" s="67"/>
      <c r="F89" s="67"/>
      <c r="G89" s="46"/>
      <c r="H89" s="407">
        <f t="shared" si="1"/>
        <v>0</v>
      </c>
    </row>
    <row r="90" spans="1:8" ht="12.75" customHeight="1">
      <c r="A90" s="406" t="s">
        <v>1056</v>
      </c>
      <c r="B90" s="50"/>
      <c r="C90" s="50"/>
      <c r="D90" s="50"/>
      <c r="E90" s="67"/>
      <c r="F90" s="67"/>
      <c r="G90" s="46"/>
      <c r="H90" s="407">
        <f t="shared" si="1"/>
        <v>0</v>
      </c>
    </row>
    <row r="91" spans="1:8" ht="12.75" customHeight="1">
      <c r="A91" s="406" t="s">
        <v>1057</v>
      </c>
      <c r="B91" s="50"/>
      <c r="C91" s="50"/>
      <c r="D91" s="50"/>
      <c r="E91" s="67"/>
      <c r="F91" s="67"/>
      <c r="G91" s="46"/>
      <c r="H91" s="407">
        <f t="shared" si="1"/>
        <v>0</v>
      </c>
    </row>
    <row r="92" spans="1:8" ht="12.75">
      <c r="A92" s="1538"/>
      <c r="B92" s="1539" t="s">
        <v>276</v>
      </c>
      <c r="C92" s="1539"/>
      <c r="D92" s="1539"/>
      <c r="E92" s="394"/>
      <c r="F92" s="394"/>
      <c r="G92" s="75"/>
      <c r="H92" s="408">
        <f t="shared" si="1"/>
        <v>0</v>
      </c>
    </row>
    <row r="93" spans="1:8" ht="13.5" thickBot="1">
      <c r="A93" s="1540"/>
      <c r="B93" s="1541"/>
      <c r="C93" s="1541"/>
      <c r="D93" s="1542"/>
      <c r="E93" s="409">
        <f>SUM(E63:E92)</f>
        <v>0</v>
      </c>
      <c r="F93" s="410">
        <f>SUM(F63:F92)</f>
        <v>0</v>
      </c>
      <c r="G93" s="411">
        <f>SUM(G63:G92)</f>
        <v>0</v>
      </c>
      <c r="H93" s="412"/>
    </row>
  </sheetData>
  <sheetProtection/>
  <mergeCells count="87">
    <mergeCell ref="E2:F2"/>
    <mergeCell ref="C16:D16"/>
    <mergeCell ref="C17:D17"/>
    <mergeCell ref="A15:B18"/>
    <mergeCell ref="C13:D13"/>
    <mergeCell ref="C11:D11"/>
    <mergeCell ref="C12:D12"/>
    <mergeCell ref="A11:B13"/>
    <mergeCell ref="A7:D7"/>
    <mergeCell ref="A1:B1"/>
    <mergeCell ref="A2:B2"/>
    <mergeCell ref="A3:B3"/>
    <mergeCell ref="A4:B4"/>
    <mergeCell ref="C4:H4"/>
    <mergeCell ref="G2:H2"/>
    <mergeCell ref="G3:H3"/>
    <mergeCell ref="C1:D1"/>
    <mergeCell ref="C2:D2"/>
    <mergeCell ref="C3:D3"/>
    <mergeCell ref="A19:D19"/>
    <mergeCell ref="A20:D20"/>
    <mergeCell ref="A34:B34"/>
    <mergeCell ref="A5:D5"/>
    <mergeCell ref="A6:D6"/>
    <mergeCell ref="A14:D14"/>
    <mergeCell ref="A10:D10"/>
    <mergeCell ref="A9:D9"/>
    <mergeCell ref="A8:D8"/>
    <mergeCell ref="C15:D15"/>
    <mergeCell ref="D60:E60"/>
    <mergeCell ref="A44:A47"/>
    <mergeCell ref="A48:B48"/>
    <mergeCell ref="A49:B49"/>
    <mergeCell ref="A52:B52"/>
    <mergeCell ref="D59:E59"/>
    <mergeCell ref="A53:D53"/>
    <mergeCell ref="A54:D54"/>
    <mergeCell ref="A55:D55"/>
    <mergeCell ref="D46:E46"/>
    <mergeCell ref="A40:A42"/>
    <mergeCell ref="A43:B43"/>
    <mergeCell ref="A35:B35"/>
    <mergeCell ref="D35:E35"/>
    <mergeCell ref="A39:B39"/>
    <mergeCell ref="A36:B36"/>
    <mergeCell ref="A37:B37"/>
    <mergeCell ref="D36:E36"/>
    <mergeCell ref="E33:F33"/>
    <mergeCell ref="G33:H33"/>
    <mergeCell ref="D43:E43"/>
    <mergeCell ref="D44:E44"/>
    <mergeCell ref="E31:F31"/>
    <mergeCell ref="G31:H31"/>
    <mergeCell ref="E32:F32"/>
    <mergeCell ref="G32:H32"/>
    <mergeCell ref="C34:H34"/>
    <mergeCell ref="A71:D71"/>
    <mergeCell ref="D49:E49"/>
    <mergeCell ref="D50:E50"/>
    <mergeCell ref="D52:E52"/>
    <mergeCell ref="B61:H61"/>
    <mergeCell ref="B62:D62"/>
    <mergeCell ref="D47:E47"/>
    <mergeCell ref="D45:E45"/>
    <mergeCell ref="D37:E37"/>
    <mergeCell ref="A31:B31"/>
    <mergeCell ref="C31:D31"/>
    <mergeCell ref="A32:B32"/>
    <mergeCell ref="C32:D32"/>
    <mergeCell ref="A33:B33"/>
    <mergeCell ref="C33:D33"/>
    <mergeCell ref="D38:E38"/>
    <mergeCell ref="A38:B38"/>
    <mergeCell ref="A77:D77"/>
    <mergeCell ref="A50:B50"/>
    <mergeCell ref="A85:D85"/>
    <mergeCell ref="D39:E39"/>
    <mergeCell ref="D48:E48"/>
    <mergeCell ref="D42:E42"/>
    <mergeCell ref="D40:E40"/>
    <mergeCell ref="D41:E41"/>
    <mergeCell ref="A80:D80"/>
    <mergeCell ref="A81:D81"/>
    <mergeCell ref="A82:D82"/>
    <mergeCell ref="A83:D83"/>
    <mergeCell ref="A92:D92"/>
    <mergeCell ref="A93:D93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5"/>
  <dimension ref="A1:F45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3.28125" style="13" customWidth="1"/>
    <col min="2" max="2" width="31.00390625" style="13" customWidth="1"/>
    <col min="3" max="3" width="13.8515625" style="13" customWidth="1"/>
    <col min="4" max="4" width="18.421875" style="13" customWidth="1"/>
    <col min="5" max="5" width="15.421875" style="13" customWidth="1"/>
    <col min="6" max="6" width="14.421875" style="13" customWidth="1"/>
    <col min="7" max="16384" width="11.421875" style="13" customWidth="1"/>
  </cols>
  <sheetData>
    <row r="1" spans="1:6" ht="12.75">
      <c r="A1" s="1665" t="s">
        <v>311</v>
      </c>
      <c r="B1" s="1666"/>
      <c r="C1" s="1667"/>
      <c r="D1" s="1667"/>
      <c r="E1" s="342" t="s">
        <v>309</v>
      </c>
      <c r="F1" s="305" t="s">
        <v>310</v>
      </c>
    </row>
    <row r="2" spans="1:6" ht="12.75">
      <c r="A2" s="1673" t="s">
        <v>1156</v>
      </c>
      <c r="B2" s="1506"/>
      <c r="C2" s="1674"/>
      <c r="D2" s="1674"/>
      <c r="E2" s="26"/>
      <c r="F2" s="306"/>
    </row>
    <row r="3" spans="1:6" ht="12.75">
      <c r="A3" s="1670" t="s">
        <v>1157</v>
      </c>
      <c r="B3" s="1671"/>
      <c r="C3" s="1672"/>
      <c r="D3" s="1672"/>
      <c r="E3" s="366" t="s">
        <v>801</v>
      </c>
      <c r="F3" s="1025" t="s">
        <v>800</v>
      </c>
    </row>
    <row r="4" spans="1:6" ht="12.75">
      <c r="A4" s="1519" t="s">
        <v>798</v>
      </c>
      <c r="B4" s="1519"/>
      <c r="C4" s="1519"/>
      <c r="D4" s="1519"/>
      <c r="E4" s="1519"/>
      <c r="F4" s="1675"/>
    </row>
    <row r="5" spans="1:6" ht="42" customHeight="1">
      <c r="A5" s="1668" t="s">
        <v>231</v>
      </c>
      <c r="B5" s="1669"/>
      <c r="C5" s="343" t="s">
        <v>254</v>
      </c>
      <c r="D5" s="344" t="s">
        <v>255</v>
      </c>
      <c r="E5" s="344" t="s">
        <v>256</v>
      </c>
      <c r="F5" s="345" t="s">
        <v>257</v>
      </c>
    </row>
    <row r="6" spans="1:6" ht="24.75" customHeight="1">
      <c r="A6" s="1677" t="s">
        <v>239</v>
      </c>
      <c r="B6" s="340" t="s">
        <v>232</v>
      </c>
      <c r="C6" s="349"/>
      <c r="D6" s="331"/>
      <c r="E6" s="331"/>
      <c r="F6" s="332"/>
    </row>
    <row r="7" spans="1:6" ht="12.75">
      <c r="A7" s="1677"/>
      <c r="B7" s="340" t="s">
        <v>233</v>
      </c>
      <c r="C7" s="350">
        <v>24600</v>
      </c>
      <c r="D7" s="323">
        <v>5520</v>
      </c>
      <c r="E7" s="323">
        <v>4160</v>
      </c>
      <c r="F7" s="324">
        <f>C7+(D7-E7)</f>
        <v>25960</v>
      </c>
    </row>
    <row r="8" spans="1:6" ht="12.75">
      <c r="A8" s="1677"/>
      <c r="B8" s="340" t="s">
        <v>234</v>
      </c>
      <c r="C8" s="350"/>
      <c r="D8" s="323"/>
      <c r="E8" s="323"/>
      <c r="F8" s="324">
        <f aca="true" t="shared" si="0" ref="F8:F33">C8+(D8-E8)</f>
        <v>0</v>
      </c>
    </row>
    <row r="9" spans="1:6" ht="12.75">
      <c r="A9" s="1677"/>
      <c r="B9" s="340" t="s">
        <v>235</v>
      </c>
      <c r="C9" s="350"/>
      <c r="D9" s="323">
        <v>2560</v>
      </c>
      <c r="E9" s="323"/>
      <c r="F9" s="324">
        <f t="shared" si="0"/>
        <v>2560</v>
      </c>
    </row>
    <row r="10" spans="1:6" ht="25.5">
      <c r="A10" s="1677"/>
      <c r="B10" s="340" t="s">
        <v>236</v>
      </c>
      <c r="C10" s="350"/>
      <c r="D10" s="323"/>
      <c r="E10" s="323"/>
      <c r="F10" s="324">
        <f t="shared" si="0"/>
        <v>0</v>
      </c>
    </row>
    <row r="11" spans="1:6" ht="12.75">
      <c r="A11" s="1677"/>
      <c r="B11" s="340" t="s">
        <v>237</v>
      </c>
      <c r="C11" s="350"/>
      <c r="D11" s="323"/>
      <c r="E11" s="323"/>
      <c r="F11" s="324">
        <f t="shared" si="0"/>
        <v>0</v>
      </c>
    </row>
    <row r="12" spans="1:6" ht="12.75">
      <c r="A12" s="1677"/>
      <c r="B12" s="340" t="s">
        <v>238</v>
      </c>
      <c r="C12" s="352"/>
      <c r="D12" s="325"/>
      <c r="E12" s="325"/>
      <c r="F12" s="326">
        <f t="shared" si="0"/>
        <v>0</v>
      </c>
    </row>
    <row r="13" spans="1:6" ht="12.75">
      <c r="A13" s="1683"/>
      <c r="B13" s="341" t="s">
        <v>1142</v>
      </c>
      <c r="C13" s="351">
        <f>SUM(C6:C12)</f>
        <v>24600</v>
      </c>
      <c r="D13" s="327">
        <f>SUM(D6:D12)</f>
        <v>8080</v>
      </c>
      <c r="E13" s="327">
        <f>SUM(E6:E12)</f>
        <v>4160</v>
      </c>
      <c r="F13" s="328">
        <f t="shared" si="0"/>
        <v>28520</v>
      </c>
    </row>
    <row r="14" spans="1:6" ht="12.75" customHeight="1">
      <c r="A14" s="1684" t="s">
        <v>249</v>
      </c>
      <c r="B14" s="338" t="s">
        <v>240</v>
      </c>
      <c r="C14" s="323">
        <v>5400</v>
      </c>
      <c r="D14" s="323"/>
      <c r="E14" s="323">
        <v>5400</v>
      </c>
      <c r="F14" s="324">
        <f t="shared" si="0"/>
        <v>0</v>
      </c>
    </row>
    <row r="15" spans="1:6" ht="12.75">
      <c r="A15" s="1685"/>
      <c r="B15" s="340" t="s">
        <v>241</v>
      </c>
      <c r="C15" s="323"/>
      <c r="D15" s="323">
        <v>3000</v>
      </c>
      <c r="E15" s="323"/>
      <c r="F15" s="324">
        <f t="shared" si="0"/>
        <v>3000</v>
      </c>
    </row>
    <row r="16" spans="1:6" ht="12.75">
      <c r="A16" s="1685"/>
      <c r="B16" s="340" t="s">
        <v>242</v>
      </c>
      <c r="C16" s="323"/>
      <c r="D16" s="323"/>
      <c r="E16" s="323"/>
      <c r="F16" s="324">
        <f t="shared" si="0"/>
        <v>0</v>
      </c>
    </row>
    <row r="17" spans="1:6" ht="25.5">
      <c r="A17" s="1685"/>
      <c r="B17" s="340" t="s">
        <v>243</v>
      </c>
      <c r="C17" s="323">
        <v>1200</v>
      </c>
      <c r="D17" s="323"/>
      <c r="E17" s="323">
        <v>1200</v>
      </c>
      <c r="F17" s="324">
        <f t="shared" si="0"/>
        <v>0</v>
      </c>
    </row>
    <row r="18" spans="1:6" ht="12.75">
      <c r="A18" s="1685"/>
      <c r="B18" s="340" t="s">
        <v>244</v>
      </c>
      <c r="C18" s="323"/>
      <c r="D18" s="323"/>
      <c r="E18" s="323"/>
      <c r="F18" s="324">
        <f t="shared" si="0"/>
        <v>0</v>
      </c>
    </row>
    <row r="19" spans="1:6" ht="25.5">
      <c r="A19" s="1685"/>
      <c r="B19" s="340" t="s">
        <v>245</v>
      </c>
      <c r="C19" s="323"/>
      <c r="D19" s="323"/>
      <c r="E19" s="323"/>
      <c r="F19" s="324">
        <f t="shared" si="0"/>
        <v>0</v>
      </c>
    </row>
    <row r="20" spans="1:6" ht="12.75">
      <c r="A20" s="1685"/>
      <c r="B20" s="340" t="s">
        <v>246</v>
      </c>
      <c r="C20" s="323"/>
      <c r="D20" s="323"/>
      <c r="E20" s="323"/>
      <c r="F20" s="324">
        <f t="shared" si="0"/>
        <v>0</v>
      </c>
    </row>
    <row r="21" spans="1:6" ht="25.5">
      <c r="A21" s="1685"/>
      <c r="B21" s="340" t="s">
        <v>247</v>
      </c>
      <c r="C21" s="323"/>
      <c r="D21" s="323"/>
      <c r="E21" s="323"/>
      <c r="F21" s="324">
        <f t="shared" si="0"/>
        <v>0</v>
      </c>
    </row>
    <row r="22" spans="1:6" ht="12.75">
      <c r="A22" s="1685"/>
      <c r="B22" s="340" t="s">
        <v>248</v>
      </c>
      <c r="C22" s="350"/>
      <c r="D22" s="323"/>
      <c r="E22" s="323"/>
      <c r="F22" s="324">
        <f t="shared" si="0"/>
        <v>0</v>
      </c>
    </row>
    <row r="23" spans="1:6" ht="12.75">
      <c r="A23" s="1686"/>
      <c r="B23" s="341" t="s">
        <v>1143</v>
      </c>
      <c r="C23" s="351">
        <f>SUM(C14:C22)</f>
        <v>6600</v>
      </c>
      <c r="D23" s="327">
        <f>SUM(D14:D22)</f>
        <v>3000</v>
      </c>
      <c r="E23" s="327">
        <f>SUM(E14:E22)</f>
        <v>6600</v>
      </c>
      <c r="F23" s="328">
        <f t="shared" si="0"/>
        <v>3000</v>
      </c>
    </row>
    <row r="24" spans="1:6" ht="12.75" customHeight="1">
      <c r="A24" s="1676" t="s">
        <v>253</v>
      </c>
      <c r="B24" s="338"/>
      <c r="C24" s="323"/>
      <c r="D24" s="323"/>
      <c r="E24" s="323"/>
      <c r="F24" s="324">
        <f t="shared" si="0"/>
        <v>0</v>
      </c>
    </row>
    <row r="25" spans="1:6" ht="12.75">
      <c r="A25" s="1677"/>
      <c r="B25" s="340"/>
      <c r="C25" s="323"/>
      <c r="D25" s="323"/>
      <c r="E25" s="323"/>
      <c r="F25" s="324">
        <f t="shared" si="0"/>
        <v>0</v>
      </c>
    </row>
    <row r="26" spans="1:6" ht="12.75">
      <c r="A26" s="1677"/>
      <c r="B26" s="340"/>
      <c r="C26" s="323"/>
      <c r="D26" s="323"/>
      <c r="E26" s="323"/>
      <c r="F26" s="324">
        <f t="shared" si="0"/>
        <v>0</v>
      </c>
    </row>
    <row r="27" spans="1:6" ht="12.75">
      <c r="A27" s="1677"/>
      <c r="B27" s="340"/>
      <c r="C27" s="323"/>
      <c r="D27" s="323"/>
      <c r="E27" s="323"/>
      <c r="F27" s="324">
        <f t="shared" si="0"/>
        <v>0</v>
      </c>
    </row>
    <row r="28" spans="1:6" ht="12.75">
      <c r="A28" s="1677"/>
      <c r="B28" s="340"/>
      <c r="C28" s="323"/>
      <c r="D28" s="323"/>
      <c r="E28" s="323"/>
      <c r="F28" s="324">
        <f t="shared" si="0"/>
        <v>0</v>
      </c>
    </row>
    <row r="29" spans="1:6" ht="12.75">
      <c r="A29" s="1677"/>
      <c r="B29" s="340"/>
      <c r="C29" s="323">
        <v>2000</v>
      </c>
      <c r="D29" s="323"/>
      <c r="E29" s="323"/>
      <c r="F29" s="324">
        <f t="shared" si="0"/>
        <v>2000</v>
      </c>
    </row>
    <row r="30" spans="1:6" ht="12.75">
      <c r="A30" s="1677"/>
      <c r="B30" s="340" t="s">
        <v>250</v>
      </c>
      <c r="C30" s="323"/>
      <c r="D30" s="323"/>
      <c r="E30" s="323"/>
      <c r="F30" s="324">
        <f t="shared" si="0"/>
        <v>0</v>
      </c>
    </row>
    <row r="31" spans="1:6" ht="12.75">
      <c r="A31" s="1677"/>
      <c r="B31" s="340" t="s">
        <v>251</v>
      </c>
      <c r="C31" s="323"/>
      <c r="D31" s="323">
        <v>52500</v>
      </c>
      <c r="E31" s="323"/>
      <c r="F31" s="324">
        <f t="shared" si="0"/>
        <v>52500</v>
      </c>
    </row>
    <row r="32" spans="1:6" ht="12.75">
      <c r="A32" s="1677"/>
      <c r="B32" s="340" t="s">
        <v>252</v>
      </c>
      <c r="C32" s="350"/>
      <c r="D32" s="323">
        <v>1000</v>
      </c>
      <c r="E32" s="323"/>
      <c r="F32" s="324">
        <f t="shared" si="0"/>
        <v>1000</v>
      </c>
    </row>
    <row r="33" spans="1:6" ht="12.75">
      <c r="A33" s="1677"/>
      <c r="B33" s="341" t="s">
        <v>1075</v>
      </c>
      <c r="C33" s="351">
        <v>112000</v>
      </c>
      <c r="D33" s="327">
        <f>SUM(D24:D32)</f>
        <v>53500</v>
      </c>
      <c r="E33" s="327">
        <v>38500</v>
      </c>
      <c r="F33" s="328">
        <f t="shared" si="0"/>
        <v>127000</v>
      </c>
    </row>
    <row r="34" spans="1:6" ht="12.75">
      <c r="A34" s="1678" t="s">
        <v>258</v>
      </c>
      <c r="B34" s="1679"/>
      <c r="C34" s="351">
        <f>C33+C23+C13</f>
        <v>143200</v>
      </c>
      <c r="D34" s="327">
        <f>D33+D23+D13</f>
        <v>64580</v>
      </c>
      <c r="E34" s="327">
        <f>E33+E23+E13</f>
        <v>49260</v>
      </c>
      <c r="F34" s="328">
        <f>F33+F23+F13</f>
        <v>158520</v>
      </c>
    </row>
    <row r="35" spans="1:6" ht="12.75">
      <c r="A35" s="346"/>
      <c r="B35" s="1680" t="s">
        <v>259</v>
      </c>
      <c r="C35" s="331"/>
      <c r="D35" s="331">
        <v>55500</v>
      </c>
      <c r="E35" s="331">
        <v>38500</v>
      </c>
      <c r="F35" s="332"/>
    </row>
    <row r="36" spans="1:6" ht="12.75">
      <c r="A36" s="347"/>
      <c r="B36" s="1681"/>
      <c r="C36" s="323"/>
      <c r="D36" s="323">
        <v>1000</v>
      </c>
      <c r="E36" s="323"/>
      <c r="F36" s="324"/>
    </row>
    <row r="37" spans="1:6" ht="13.5" thickBot="1">
      <c r="A37" s="348"/>
      <c r="B37" s="1682"/>
      <c r="C37" s="333"/>
      <c r="D37" s="333">
        <v>8080</v>
      </c>
      <c r="E37" s="333">
        <v>10760</v>
      </c>
      <c r="F37" s="334"/>
    </row>
    <row r="38" ht="12.75">
      <c r="B38" s="6"/>
    </row>
    <row r="39" ht="12.75">
      <c r="B39" s="6"/>
    </row>
    <row r="40" ht="12.75">
      <c r="B40" s="6"/>
    </row>
    <row r="41" ht="12.75">
      <c r="B41" s="6"/>
    </row>
    <row r="42" ht="12.75">
      <c r="B42" s="6"/>
    </row>
    <row r="43" ht="12.75">
      <c r="B43" s="6"/>
    </row>
    <row r="44" ht="12.75">
      <c r="B44" s="6"/>
    </row>
    <row r="45" ht="12.75">
      <c r="B45" s="6"/>
    </row>
  </sheetData>
  <sheetProtection/>
  <mergeCells count="13">
    <mergeCell ref="A24:A33"/>
    <mergeCell ref="A34:B34"/>
    <mergeCell ref="B35:B37"/>
    <mergeCell ref="A6:A13"/>
    <mergeCell ref="A14:A23"/>
    <mergeCell ref="A1:B1"/>
    <mergeCell ref="C1:D1"/>
    <mergeCell ref="A5:B5"/>
    <mergeCell ref="A3:B3"/>
    <mergeCell ref="C3:D3"/>
    <mergeCell ref="A2:B2"/>
    <mergeCell ref="C2:D2"/>
    <mergeCell ref="A4:F4"/>
  </mergeCells>
  <printOptions/>
  <pageMargins left="0.3937007874015748" right="0.3937007874015748" top="0.984251968503937" bottom="0.984251968503937" header="0.5118110236220472" footer="0.5118110236220472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7"/>
  <dimension ref="A1:H58"/>
  <sheetViews>
    <sheetView showZeros="0" zoomScalePageLayoutView="0" workbookViewId="0" topLeftCell="A1">
      <selection activeCell="A1" sqref="A1:H1"/>
    </sheetView>
  </sheetViews>
  <sheetFormatPr defaultColWidth="11.421875" defaultRowHeight="12.75"/>
  <cols>
    <col min="1" max="1" width="5.00390625" style="53" customWidth="1"/>
    <col min="2" max="2" width="7.140625" style="53" customWidth="1"/>
    <col min="3" max="3" width="13.28125" style="53" customWidth="1"/>
    <col min="4" max="4" width="34.8515625" style="53" customWidth="1"/>
    <col min="5" max="5" width="14.57421875" style="53" customWidth="1"/>
    <col min="6" max="6" width="13.8515625" style="53" customWidth="1"/>
    <col min="7" max="7" width="14.8515625" style="53" customWidth="1"/>
    <col min="8" max="8" width="16.57421875" style="53" customWidth="1"/>
    <col min="9" max="16384" width="11.421875" style="53" customWidth="1"/>
  </cols>
  <sheetData>
    <row r="1" spans="1:8" ht="17.25" customHeight="1">
      <c r="A1" s="1705" t="s">
        <v>947</v>
      </c>
      <c r="B1" s="1565"/>
      <c r="C1" s="1565"/>
      <c r="D1" s="1565"/>
      <c r="E1" s="1565"/>
      <c r="F1" s="1565"/>
      <c r="G1" s="1565"/>
      <c r="H1" s="1566"/>
    </row>
    <row r="2" spans="1:8" ht="12.75" customHeight="1">
      <c r="A2" s="1720" t="s">
        <v>1155</v>
      </c>
      <c r="B2" s="1721"/>
      <c r="C2" s="1727"/>
      <c r="D2" s="1727"/>
      <c r="E2" s="1727"/>
      <c r="F2" s="1727"/>
      <c r="G2" s="1023" t="s">
        <v>29</v>
      </c>
      <c r="H2" s="1024"/>
    </row>
    <row r="3" spans="1:8" ht="12.75" customHeight="1">
      <c r="A3" s="1722" t="s">
        <v>1156</v>
      </c>
      <c r="B3" s="1723"/>
      <c r="C3" s="1727"/>
      <c r="D3" s="1727"/>
      <c r="E3" s="1727"/>
      <c r="F3" s="1727"/>
      <c r="G3" s="366"/>
      <c r="H3" s="1025"/>
    </row>
    <row r="4" spans="1:8" ht="13.5" thickBot="1">
      <c r="A4" s="1617" t="s">
        <v>939</v>
      </c>
      <c r="B4" s="1726"/>
      <c r="C4" s="1728"/>
      <c r="D4" s="1728"/>
      <c r="E4" s="1728"/>
      <c r="F4" s="1728"/>
      <c r="G4" s="366"/>
      <c r="H4" s="1026"/>
    </row>
    <row r="5" spans="1:8" ht="12.75" customHeight="1" thickBot="1">
      <c r="A5" s="1724" t="s">
        <v>1139</v>
      </c>
      <c r="B5" s="1725"/>
      <c r="C5" s="1718" t="s">
        <v>941</v>
      </c>
      <c r="D5" s="1719"/>
      <c r="E5" s="1719"/>
      <c r="F5" s="960" t="s">
        <v>915</v>
      </c>
      <c r="G5" s="963" t="s">
        <v>916</v>
      </c>
      <c r="H5" s="962" t="s">
        <v>917</v>
      </c>
    </row>
    <row r="6" spans="1:8" ht="12.75" customHeight="1">
      <c r="A6" s="1709" t="s">
        <v>922</v>
      </c>
      <c r="B6" s="1710"/>
      <c r="C6" s="1747" t="s">
        <v>918</v>
      </c>
      <c r="D6" s="1598"/>
      <c r="E6" s="1027"/>
      <c r="F6" s="1028">
        <f>G6+H6</f>
        <v>0</v>
      </c>
      <c r="G6" s="1045"/>
      <c r="H6" s="1046"/>
    </row>
    <row r="7" spans="1:8" ht="12.75" customHeight="1">
      <c r="A7" s="1711"/>
      <c r="B7" s="1712"/>
      <c r="C7" s="48" t="s">
        <v>1056</v>
      </c>
      <c r="D7" s="47"/>
      <c r="E7" s="47"/>
      <c r="F7" s="1029">
        <f>G7+H7</f>
        <v>30000</v>
      </c>
      <c r="G7" s="1047">
        <v>7800</v>
      </c>
      <c r="H7" s="1048">
        <v>22200</v>
      </c>
    </row>
    <row r="8" spans="1:8" ht="12.75" customHeight="1" thickBot="1">
      <c r="A8" s="1713"/>
      <c r="B8" s="1714"/>
      <c r="C8" s="1037" t="s">
        <v>919</v>
      </c>
      <c r="D8" s="414"/>
      <c r="E8" s="414"/>
      <c r="F8" s="1029">
        <f>G8+H8</f>
        <v>0</v>
      </c>
      <c r="G8" s="1049"/>
      <c r="H8" s="1050"/>
    </row>
    <row r="9" spans="1:8" ht="12.75">
      <c r="A9" s="1717" t="s">
        <v>933</v>
      </c>
      <c r="B9" s="1038" t="s">
        <v>923</v>
      </c>
      <c r="C9" s="1039"/>
      <c r="D9" s="1039"/>
      <c r="E9" s="1040"/>
      <c r="F9" s="1028">
        <f>G9+H9</f>
        <v>0</v>
      </c>
      <c r="G9" s="1045"/>
      <c r="H9" s="1046">
        <v>0</v>
      </c>
    </row>
    <row r="10" spans="1:8" ht="12.75">
      <c r="A10" s="1691"/>
      <c r="B10" s="785" t="s">
        <v>924</v>
      </c>
      <c r="C10" s="386"/>
      <c r="D10" s="386"/>
      <c r="E10" s="47"/>
      <c r="F10" s="1029">
        <f>G10+H10</f>
        <v>385520</v>
      </c>
      <c r="G10" s="1047">
        <v>311500</v>
      </c>
      <c r="H10" s="1048">
        <v>74020</v>
      </c>
    </row>
    <row r="11" spans="1:8" ht="12.75">
      <c r="A11" s="1691"/>
      <c r="B11" s="785" t="s">
        <v>927</v>
      </c>
      <c r="C11" s="386"/>
      <c r="D11" s="386"/>
      <c r="E11" s="47"/>
      <c r="F11" s="1029">
        <f aca="true" t="shared" si="0" ref="F11:F24">G11+H11</f>
        <v>1904080</v>
      </c>
      <c r="G11" s="1047">
        <v>1904080</v>
      </c>
      <c r="H11" s="1048"/>
    </row>
    <row r="12" spans="1:8" ht="12.75">
      <c r="A12" s="1691"/>
      <c r="B12" s="785" t="s">
        <v>925</v>
      </c>
      <c r="C12" s="386"/>
      <c r="D12" s="386"/>
      <c r="E12" s="47"/>
      <c r="F12" s="1029">
        <f t="shared" si="0"/>
        <v>0</v>
      </c>
      <c r="G12" s="1047"/>
      <c r="H12" s="1048"/>
    </row>
    <row r="13" spans="1:8" ht="12.75">
      <c r="A13" s="1691"/>
      <c r="B13" s="785" t="s">
        <v>926</v>
      </c>
      <c r="C13" s="386"/>
      <c r="D13" s="386"/>
      <c r="E13" s="47"/>
      <c r="F13" s="1029">
        <f t="shared" si="0"/>
        <v>0</v>
      </c>
      <c r="G13" s="1047"/>
      <c r="H13" s="1048"/>
    </row>
    <row r="14" spans="1:8" ht="12.75" customHeight="1">
      <c r="A14" s="1691"/>
      <c r="B14" s="1696" t="s">
        <v>930</v>
      </c>
      <c r="C14" s="1630"/>
      <c r="D14" s="52" t="s">
        <v>1234</v>
      </c>
      <c r="E14" s="52"/>
      <c r="F14" s="1029">
        <f t="shared" si="0"/>
        <v>0</v>
      </c>
      <c r="G14" s="1047"/>
      <c r="H14" s="1048"/>
    </row>
    <row r="15" spans="1:8" ht="12.75">
      <c r="A15" s="1691"/>
      <c r="B15" s="1696"/>
      <c r="C15" s="1630"/>
      <c r="D15" s="47" t="s">
        <v>928</v>
      </c>
      <c r="E15" s="47"/>
      <c r="F15" s="1029">
        <f t="shared" si="0"/>
        <v>4800</v>
      </c>
      <c r="G15" s="1047">
        <v>4800</v>
      </c>
      <c r="H15" s="1048"/>
    </row>
    <row r="16" spans="1:8" ht="12.75">
      <c r="A16" s="1691"/>
      <c r="B16" s="1696"/>
      <c r="C16" s="1630"/>
      <c r="D16" s="365" t="s">
        <v>929</v>
      </c>
      <c r="E16" s="365"/>
      <c r="F16" s="1029">
        <f t="shared" si="0"/>
        <v>0</v>
      </c>
      <c r="G16" s="1047"/>
      <c r="H16" s="1048"/>
    </row>
    <row r="17" spans="1:8" ht="12.75">
      <c r="A17" s="1691"/>
      <c r="B17" s="785" t="s">
        <v>931</v>
      </c>
      <c r="C17" s="386"/>
      <c r="D17" s="386"/>
      <c r="E17" s="386"/>
      <c r="F17" s="1029">
        <f t="shared" si="0"/>
        <v>0</v>
      </c>
      <c r="G17" s="1047"/>
      <c r="H17" s="1048"/>
    </row>
    <row r="18" spans="1:8" ht="12.75" customHeight="1">
      <c r="A18" s="1691"/>
      <c r="B18" s="1744" t="s">
        <v>932</v>
      </c>
      <c r="C18" s="1723"/>
      <c r="D18" s="1723"/>
      <c r="E18" s="1723"/>
      <c r="F18" s="1029">
        <f t="shared" si="0"/>
        <v>0</v>
      </c>
      <c r="G18" s="1047"/>
      <c r="H18" s="1048"/>
    </row>
    <row r="19" spans="1:8" ht="13.5" thickBot="1">
      <c r="A19" s="1692"/>
      <c r="B19" s="1745"/>
      <c r="C19" s="1746"/>
      <c r="D19" s="1746"/>
      <c r="E19" s="1746"/>
      <c r="F19" s="1033">
        <f t="shared" si="0"/>
        <v>0</v>
      </c>
      <c r="G19" s="1049">
        <v>0</v>
      </c>
      <c r="H19" s="1050"/>
    </row>
    <row r="20" spans="1:8" ht="13.5" thickBot="1">
      <c r="A20" s="1597" t="s">
        <v>940</v>
      </c>
      <c r="B20" s="1598"/>
      <c r="C20" s="1598"/>
      <c r="D20" s="1598"/>
      <c r="E20" s="1598"/>
      <c r="F20" s="1041">
        <f t="shared" si="0"/>
        <v>0</v>
      </c>
      <c r="G20" s="1051"/>
      <c r="H20" s="1052"/>
    </row>
    <row r="21" spans="1:8" ht="13.5" thickBot="1">
      <c r="A21" s="1715" t="s">
        <v>934</v>
      </c>
      <c r="B21" s="1716"/>
      <c r="C21" s="1716"/>
      <c r="D21" s="1716"/>
      <c r="E21" s="1716"/>
      <c r="F21" s="1061">
        <f>SUM(F6:F20)</f>
        <v>2324400</v>
      </c>
      <c r="G21" s="1061">
        <f>SUM(G6:G20)</f>
        <v>2228180</v>
      </c>
      <c r="H21" s="1061">
        <f>SUM(H6:H20)</f>
        <v>96220</v>
      </c>
    </row>
    <row r="22" spans="1:8" ht="12.75">
      <c r="A22" s="1707" t="s">
        <v>938</v>
      </c>
      <c r="B22" s="1693" t="s">
        <v>948</v>
      </c>
      <c r="C22" s="1577" t="s">
        <v>950</v>
      </c>
      <c r="D22" s="365" t="s">
        <v>935</v>
      </c>
      <c r="E22" s="365"/>
      <c r="F22" s="1053">
        <f t="shared" si="0"/>
        <v>0</v>
      </c>
      <c r="G22" s="1738"/>
      <c r="H22" s="1739"/>
    </row>
    <row r="23" spans="1:8" ht="12.75">
      <c r="A23" s="1707"/>
      <c r="B23" s="1551"/>
      <c r="C23" s="1706"/>
      <c r="D23" s="1030" t="s">
        <v>936</v>
      </c>
      <c r="E23" s="1030"/>
      <c r="F23" s="1047">
        <v>5000</v>
      </c>
      <c r="G23" s="1740"/>
      <c r="H23" s="1741"/>
    </row>
    <row r="24" spans="1:8" ht="13.5" thickBot="1">
      <c r="A24" s="1708"/>
      <c r="B24" s="1031" t="s">
        <v>949</v>
      </c>
      <c r="C24" s="1032"/>
      <c r="D24" s="1032" t="s">
        <v>937</v>
      </c>
      <c r="E24" s="1032"/>
      <c r="F24" s="1049">
        <f t="shared" si="0"/>
        <v>0</v>
      </c>
      <c r="G24" s="1742"/>
      <c r="H24" s="1743"/>
    </row>
    <row r="35" ht="13.5" thickBot="1"/>
    <row r="36" spans="1:8" ht="15.75">
      <c r="A36" s="1705" t="s">
        <v>947</v>
      </c>
      <c r="B36" s="1565"/>
      <c r="C36" s="1565"/>
      <c r="D36" s="1565"/>
      <c r="E36" s="1565"/>
      <c r="F36" s="1565"/>
      <c r="G36" s="1565"/>
      <c r="H36" s="1566"/>
    </row>
    <row r="37" spans="1:8" ht="12.75">
      <c r="A37" s="1720" t="s">
        <v>1155</v>
      </c>
      <c r="B37" s="1721"/>
      <c r="C37" s="1727"/>
      <c r="D37" s="1727"/>
      <c r="E37" s="1727"/>
      <c r="F37" s="1727"/>
      <c r="G37" s="1023" t="s">
        <v>29</v>
      </c>
      <c r="H37" s="1024"/>
    </row>
    <row r="38" spans="1:8" ht="12.75">
      <c r="A38" s="1722" t="s">
        <v>1156</v>
      </c>
      <c r="B38" s="1723"/>
      <c r="C38" s="1727"/>
      <c r="D38" s="1727"/>
      <c r="E38" s="1727"/>
      <c r="F38" s="1727"/>
      <c r="G38" s="366" t="s">
        <v>799</v>
      </c>
      <c r="H38" s="1025" t="s">
        <v>800</v>
      </c>
    </row>
    <row r="39" spans="1:8" ht="13.5" thickBot="1">
      <c r="A39" s="1748" t="s">
        <v>939</v>
      </c>
      <c r="B39" s="1749"/>
      <c r="C39" s="1750"/>
      <c r="D39" s="1750"/>
      <c r="E39" s="1750"/>
      <c r="F39" s="1750"/>
      <c r="G39" s="339"/>
      <c r="H39" s="1034"/>
    </row>
    <row r="40" spans="1:8" ht="16.5" customHeight="1" thickBot="1">
      <c r="A40" s="1687" t="s">
        <v>1145</v>
      </c>
      <c r="B40" s="1688"/>
      <c r="C40" s="1689" t="s">
        <v>951</v>
      </c>
      <c r="D40" s="1690"/>
      <c r="E40" s="1057" t="s">
        <v>915</v>
      </c>
      <c r="F40" s="961" t="s">
        <v>953</v>
      </c>
      <c r="G40" s="961" t="s">
        <v>952</v>
      </c>
      <c r="H40" s="1044" t="s">
        <v>954</v>
      </c>
    </row>
    <row r="41" spans="1:8" ht="12.75">
      <c r="A41" s="1042"/>
      <c r="B41" s="1043" t="s">
        <v>955</v>
      </c>
      <c r="C41" s="1040"/>
      <c r="D41" s="1040"/>
      <c r="E41" s="1042">
        <f>SUM(F41:H41)</f>
        <v>0</v>
      </c>
      <c r="F41" s="1054"/>
      <c r="G41" s="1051"/>
      <c r="H41" s="1052"/>
    </row>
    <row r="42" spans="1:8" ht="12.75">
      <c r="A42" s="1035"/>
      <c r="B42" s="261" t="s">
        <v>1060</v>
      </c>
      <c r="C42" s="365"/>
      <c r="D42" s="365"/>
      <c r="E42" s="1035">
        <f aca="true" t="shared" si="1" ref="E42:E58">SUM(F42:H42)</f>
        <v>978092</v>
      </c>
      <c r="F42" s="253">
        <v>272582</v>
      </c>
      <c r="G42" s="1055">
        <v>566910</v>
      </c>
      <c r="H42" s="1056">
        <v>138600</v>
      </c>
    </row>
    <row r="43" spans="1:8" ht="12.75">
      <c r="A43" s="1036"/>
      <c r="B43" s="1696" t="s">
        <v>1062</v>
      </c>
      <c r="C43" s="1697"/>
      <c r="D43" s="402" t="s">
        <v>956</v>
      </c>
      <c r="E43" s="1035">
        <f t="shared" si="1"/>
        <v>14500</v>
      </c>
      <c r="F43" s="253">
        <v>14500</v>
      </c>
      <c r="G43" s="1055"/>
      <c r="H43" s="1056"/>
    </row>
    <row r="44" spans="1:8" ht="12.75">
      <c r="A44" s="1035"/>
      <c r="B44" s="1698"/>
      <c r="C44" s="1699"/>
      <c r="D44" s="261" t="s">
        <v>957</v>
      </c>
      <c r="E44" s="1035">
        <f t="shared" si="1"/>
        <v>333150</v>
      </c>
      <c r="F44" s="253">
        <v>7350</v>
      </c>
      <c r="G44" s="1055">
        <v>325800</v>
      </c>
      <c r="H44" s="1056"/>
    </row>
    <row r="45" spans="1:8" ht="12.75">
      <c r="A45" s="1035"/>
      <c r="B45" s="402" t="s">
        <v>958</v>
      </c>
      <c r="C45" s="52"/>
      <c r="D45" s="52"/>
      <c r="E45" s="1035">
        <f t="shared" si="1"/>
        <v>0</v>
      </c>
      <c r="F45" s="253"/>
      <c r="G45" s="1055"/>
      <c r="H45" s="1056"/>
    </row>
    <row r="46" spans="1:8" ht="12.75">
      <c r="A46" s="1035"/>
      <c r="B46" s="48" t="s">
        <v>959</v>
      </c>
      <c r="C46" s="47"/>
      <c r="D46" s="47"/>
      <c r="E46" s="1035">
        <f t="shared" si="1"/>
        <v>1824200</v>
      </c>
      <c r="F46" s="253">
        <v>1824200</v>
      </c>
      <c r="G46" s="1055"/>
      <c r="H46" s="1056"/>
    </row>
    <row r="47" spans="1:8" ht="12.75">
      <c r="A47" s="1035"/>
      <c r="B47" s="48" t="s">
        <v>967</v>
      </c>
      <c r="C47" s="47"/>
      <c r="D47" s="47"/>
      <c r="E47" s="1035">
        <f t="shared" si="1"/>
        <v>187313</v>
      </c>
      <c r="F47" s="253">
        <v>187313</v>
      </c>
      <c r="G47" s="1055"/>
      <c r="H47" s="1056"/>
    </row>
    <row r="48" spans="1:8" ht="12.75">
      <c r="A48" s="1035"/>
      <c r="B48" s="1702" t="s">
        <v>989</v>
      </c>
      <c r="C48" s="1652"/>
      <c r="D48" s="402" t="s">
        <v>968</v>
      </c>
      <c r="E48" s="1035">
        <f t="shared" si="1"/>
        <v>189270</v>
      </c>
      <c r="F48" s="253">
        <v>189270</v>
      </c>
      <c r="G48" s="1055"/>
      <c r="H48" s="1056"/>
    </row>
    <row r="49" spans="1:8" ht="12.75">
      <c r="A49" s="1035"/>
      <c r="B49" s="1703"/>
      <c r="C49" s="1654"/>
      <c r="D49" s="48" t="s">
        <v>969</v>
      </c>
      <c r="E49" s="1035">
        <f t="shared" si="1"/>
        <v>81766</v>
      </c>
      <c r="F49" s="253">
        <v>81766</v>
      </c>
      <c r="G49" s="1055"/>
      <c r="H49" s="1056"/>
    </row>
    <row r="50" spans="1:8" ht="12.75">
      <c r="A50" s="1035"/>
      <c r="B50" s="1703"/>
      <c r="C50" s="1654"/>
      <c r="D50" s="48" t="s">
        <v>970</v>
      </c>
      <c r="E50" s="1035">
        <f t="shared" si="1"/>
        <v>32963</v>
      </c>
      <c r="F50" s="253">
        <v>32963</v>
      </c>
      <c r="G50" s="1055"/>
      <c r="H50" s="1056"/>
    </row>
    <row r="51" spans="1:8" ht="12.75">
      <c r="A51" s="1035"/>
      <c r="B51" s="1704"/>
      <c r="C51" s="1656"/>
      <c r="D51" s="261" t="s">
        <v>981</v>
      </c>
      <c r="E51" s="1035">
        <f t="shared" si="1"/>
        <v>0</v>
      </c>
      <c r="F51" s="253"/>
      <c r="G51" s="1055"/>
      <c r="H51" s="1056"/>
    </row>
    <row r="52" spans="1:8" ht="12.75">
      <c r="A52" s="1035"/>
      <c r="B52" s="48" t="s">
        <v>982</v>
      </c>
      <c r="C52" s="47"/>
      <c r="D52" s="47"/>
      <c r="E52" s="1035">
        <f t="shared" si="1"/>
        <v>0</v>
      </c>
      <c r="F52" s="253"/>
      <c r="G52" s="1055"/>
      <c r="H52" s="1056"/>
    </row>
    <row r="53" spans="1:8" ht="12.75">
      <c r="A53" s="1035"/>
      <c r="B53" s="48" t="s">
        <v>987</v>
      </c>
      <c r="C53" s="47"/>
      <c r="D53" s="47"/>
      <c r="E53" s="1035">
        <f t="shared" si="1"/>
        <v>0</v>
      </c>
      <c r="F53" s="253"/>
      <c r="G53" s="1055"/>
      <c r="H53" s="1056"/>
    </row>
    <row r="54" spans="1:8" ht="13.5" thickBot="1">
      <c r="A54" s="1035"/>
      <c r="B54" s="48" t="s">
        <v>988</v>
      </c>
      <c r="C54" s="47"/>
      <c r="D54" s="47"/>
      <c r="E54" s="1035">
        <f t="shared" si="1"/>
        <v>0</v>
      </c>
      <c r="F54" s="253"/>
      <c r="G54" s="1055"/>
      <c r="H54" s="1056"/>
    </row>
    <row r="55" spans="1:8" ht="13.5" thickBot="1">
      <c r="A55" s="1700" t="s">
        <v>934</v>
      </c>
      <c r="B55" s="1701"/>
      <c r="C55" s="1701"/>
      <c r="D55" s="1701"/>
      <c r="E55" s="1058">
        <f>SUM(E41:E54)</f>
        <v>3641254</v>
      </c>
      <c r="F55" s="1058">
        <f>SUM(F41:F54)</f>
        <v>2609944</v>
      </c>
      <c r="G55" s="1058">
        <f>SUM(G41:G54)</f>
        <v>892710</v>
      </c>
      <c r="H55" s="1059">
        <f>SUM(H41:H54)</f>
        <v>138600</v>
      </c>
    </row>
    <row r="56" spans="1:8" ht="12.75">
      <c r="A56" s="1691" t="s">
        <v>938</v>
      </c>
      <c r="B56" s="1693" t="s">
        <v>948</v>
      </c>
      <c r="C56" s="48" t="s">
        <v>990</v>
      </c>
      <c r="D56" s="47"/>
      <c r="E56" s="1060">
        <f t="shared" si="1"/>
        <v>0</v>
      </c>
      <c r="F56" s="1729" t="s">
        <v>986</v>
      </c>
      <c r="G56" s="1730"/>
      <c r="H56" s="1731"/>
    </row>
    <row r="57" spans="1:8" ht="12.75">
      <c r="A57" s="1691"/>
      <c r="B57" s="1551"/>
      <c r="C57" s="261" t="s">
        <v>991</v>
      </c>
      <c r="D57" s="365"/>
      <c r="E57" s="1060">
        <v>77150</v>
      </c>
      <c r="F57" s="1732"/>
      <c r="G57" s="1733"/>
      <c r="H57" s="1734"/>
    </row>
    <row r="58" spans="1:8" ht="25.5" customHeight="1" thickBot="1">
      <c r="A58" s="1692"/>
      <c r="B58" s="1031" t="s">
        <v>949</v>
      </c>
      <c r="C58" s="1694" t="s">
        <v>992</v>
      </c>
      <c r="D58" s="1695"/>
      <c r="E58" s="1062">
        <f t="shared" si="1"/>
        <v>0</v>
      </c>
      <c r="F58" s="1735"/>
      <c r="G58" s="1736"/>
      <c r="H58" s="1737"/>
    </row>
  </sheetData>
  <sheetProtection selectLockedCells="1"/>
  <mergeCells count="36">
    <mergeCell ref="F56:H58"/>
    <mergeCell ref="G22:H24"/>
    <mergeCell ref="B18:E19"/>
    <mergeCell ref="C6:D6"/>
    <mergeCell ref="A37:B37"/>
    <mergeCell ref="C37:F37"/>
    <mergeCell ref="A38:B38"/>
    <mergeCell ref="C38:F38"/>
    <mergeCell ref="A39:B39"/>
    <mergeCell ref="C39:F39"/>
    <mergeCell ref="C5:E5"/>
    <mergeCell ref="A2:B2"/>
    <mergeCell ref="A3:B3"/>
    <mergeCell ref="A5:B5"/>
    <mergeCell ref="A4:B4"/>
    <mergeCell ref="C2:F2"/>
    <mergeCell ref="C3:F3"/>
    <mergeCell ref="C4:F4"/>
    <mergeCell ref="A1:H1"/>
    <mergeCell ref="B22:B23"/>
    <mergeCell ref="A36:H36"/>
    <mergeCell ref="C22:C23"/>
    <mergeCell ref="A22:A24"/>
    <mergeCell ref="A6:B8"/>
    <mergeCell ref="A20:E20"/>
    <mergeCell ref="A21:E21"/>
    <mergeCell ref="A9:A19"/>
    <mergeCell ref="B14:C16"/>
    <mergeCell ref="A40:B40"/>
    <mergeCell ref="C40:D40"/>
    <mergeCell ref="A56:A58"/>
    <mergeCell ref="B56:B57"/>
    <mergeCell ref="C58:D58"/>
    <mergeCell ref="B43:C44"/>
    <mergeCell ref="A55:D55"/>
    <mergeCell ref="B48:C51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Mathris</cp:lastModifiedBy>
  <cp:lastPrinted>2011-01-10T06:47:04Z</cp:lastPrinted>
  <dcterms:created xsi:type="dcterms:W3CDTF">2006-06-10T23:05:37Z</dcterms:created>
  <dcterms:modified xsi:type="dcterms:W3CDTF">2011-07-28T05:45:41Z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